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1" activeTab="1"/>
  </bookViews>
  <sheets>
    <sheet name="форма 4" sheetId="1" state="hidden" r:id="rId1"/>
    <sheet name="объем закупок на 2018" sheetId="2" r:id="rId2"/>
    <sheet name="табл 2" sheetId="3" r:id="rId3"/>
    <sheet name="табл 2 05.03" sheetId="4" r:id="rId4"/>
    <sheet name="табл 2 09.04 " sheetId="5" r:id="rId5"/>
    <sheet name="табл 2 20.04 " sheetId="6" r:id="rId6"/>
    <sheet name="табл 2 21.05" sheetId="7" r:id="rId7"/>
    <sheet name="табл 2 18.06" sheetId="8" r:id="rId8"/>
    <sheet name="табл 2 12.07" sheetId="9" r:id="rId9"/>
    <sheet name="23.10" sheetId="10" r:id="rId10"/>
    <sheet name="13.11" sheetId="11" r:id="rId11"/>
    <sheet name="11.12" sheetId="12" r:id="rId12"/>
    <sheet name="Лист1" sheetId="13" r:id="rId13"/>
  </sheets>
  <definedNames>
    <definedName name="_xlnm.Print_Area" localSheetId="11">'11.12'!$A$1:$N$155</definedName>
    <definedName name="_xlnm.Print_Area" localSheetId="10">'13.11'!$A$1:$N$155</definedName>
    <definedName name="_xlnm.Print_Area" localSheetId="9">'23.10'!$A$1:$N$155</definedName>
    <definedName name="_xlnm.Print_Area" localSheetId="12">'Лист1'!$A$1:$I$32</definedName>
    <definedName name="_xlnm.Print_Area" localSheetId="1">'объем закупок на 2018'!$A$1:$H$198</definedName>
    <definedName name="_xlnm.Print_Area" localSheetId="2">'табл 2'!$A$1:$N$145</definedName>
    <definedName name="_xlnm.Print_Area" localSheetId="3">'табл 2 05.03'!$A$1:$N$148</definedName>
    <definedName name="_xlnm.Print_Area" localSheetId="4">'табл 2 09.04 '!$A$1:$N$148</definedName>
    <definedName name="_xlnm.Print_Area" localSheetId="8">'табл 2 12.07'!$A$1:$N$155</definedName>
    <definedName name="_xlnm.Print_Area" localSheetId="7">'табл 2 18.06'!$A$1:$N$155</definedName>
    <definedName name="_xlnm.Print_Area" localSheetId="5">'табл 2 20.04 '!$A$1:$N$155</definedName>
    <definedName name="_xlnm.Print_Area" localSheetId="6">'табл 2 21.05'!$A$1:$N$155</definedName>
    <definedName name="_xlnm.Print_Area" localSheetId="0">'форма 4'!$A$1:$Q$206</definedName>
  </definedNames>
  <calcPr fullCalcOnLoad="1"/>
</workbook>
</file>

<file path=xl/comments2.xml><?xml version="1.0" encoding="utf-8"?>
<comments xmlns="http://schemas.openxmlformats.org/spreadsheetml/2006/main">
  <authors>
    <author>buhgalter3</author>
    <author>buhgalter1</author>
  </authors>
  <commentList>
    <comment ref="A19" authorId="0">
      <text>
        <r>
          <rPr>
            <b/>
            <sz val="8"/>
            <rFont val="Tahoma"/>
            <family val="2"/>
          </rPr>
          <t>buhgalter3:</t>
        </r>
        <r>
          <rPr>
            <sz val="8"/>
            <rFont val="Tahoma"/>
            <family val="2"/>
          </rPr>
          <t xml:space="preserve">
не оплачено</t>
        </r>
      </text>
    </comment>
    <comment ref="A20" authorId="0">
      <text>
        <r>
          <rPr>
            <b/>
            <sz val="8"/>
            <rFont val="Tahoma"/>
            <family val="2"/>
          </rPr>
          <t>buhgalter3:</t>
        </r>
        <r>
          <rPr>
            <sz val="8"/>
            <rFont val="Tahoma"/>
            <family val="2"/>
          </rPr>
          <t xml:space="preserve">
не оплачено</t>
        </r>
      </text>
    </comment>
    <comment ref="H95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Л.В.07.06
кф 08.06</t>
        </r>
      </text>
    </comment>
    <comment ref="H99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В.А. 25.08 (д) по эл.почте</t>
        </r>
      </text>
    </comment>
    <comment ref="H151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в папке 24.05.16</t>
        </r>
      </text>
    </comment>
    <comment ref="H178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24.08
</t>
        </r>
      </text>
    </comment>
    <comment ref="H45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29.03</t>
        </r>
      </text>
    </comment>
    <comment ref="E89" authorId="0">
      <text>
        <r>
          <rPr>
            <b/>
            <sz val="8"/>
            <rFont val="Tahoma"/>
            <family val="2"/>
          </rPr>
          <t>buhgalter3:</t>
        </r>
        <r>
          <rPr>
            <sz val="8"/>
            <rFont val="Tahoma"/>
            <family val="2"/>
          </rPr>
          <t xml:space="preserve">
перенести на 226 на питание
</t>
        </r>
      </text>
    </comment>
    <comment ref="H138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09.08</t>
        </r>
      </text>
    </comment>
    <comment ref="H25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09.08</t>
        </r>
      </text>
    </comment>
    <comment ref="H111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09.08</t>
        </r>
      </text>
    </comment>
    <comment ref="H112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10.08</t>
        </r>
      </text>
    </comment>
    <comment ref="H137" authorId="1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кф 10.08</t>
        </r>
      </text>
    </comment>
  </commentList>
</comments>
</file>

<file path=xl/sharedStrings.xml><?xml version="1.0" encoding="utf-8"?>
<sst xmlns="http://schemas.openxmlformats.org/spreadsheetml/2006/main" count="9440" uniqueCount="439">
  <si>
    <t>Форма 4</t>
  </si>
  <si>
    <t>ПОКАЗАТЕЛИ</t>
  </si>
  <si>
    <t>Наименование показателя</t>
  </si>
  <si>
    <t>Код субсидии</t>
  </si>
  <si>
    <t>Сумма</t>
  </si>
  <si>
    <t>руб.,коп.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</si>
  <si>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</si>
  <si>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</si>
  <si>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</si>
  <si>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>Субсидия на иные цели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</si>
  <si>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</si>
  <si>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</si>
  <si>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</si>
  <si>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 xml:space="preserve">Выплаты, всего:                          </t>
  </si>
  <si>
    <t>ВСЕГО по муниципальному заданию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</si>
  <si>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</si>
  <si>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</si>
  <si>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</si>
  <si>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</si>
  <si>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</si>
  <si>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</si>
  <si>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</si>
  <si>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</si>
  <si>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</si>
  <si>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организациям, всего       </t>
  </si>
  <si>
    <t xml:space="preserve">Социальное обеспечение, всего         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</si>
  <si>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</si>
  <si>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</si>
  <si>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</si>
  <si>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ВСЕГО</t>
  </si>
  <si>
    <t>223.020</t>
  </si>
  <si>
    <t>223.030</t>
  </si>
  <si>
    <t xml:space="preserve">из них:           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</si>
  <si>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</si>
  <si>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Пособия по социальной помощи населению   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</si>
  <si>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</si>
  <si>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</si>
  <si>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</si>
  <si>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</si>
  <si>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</si>
  <si>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</si>
  <si>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</si>
  <si>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</si>
  <si>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>Всего</t>
  </si>
  <si>
    <t>Увеличение стоимости материальных запасов</t>
  </si>
  <si>
    <t>Главный бухгалтер</t>
  </si>
  <si>
    <t>учреждения                               ____________ _____________________</t>
  </si>
  <si>
    <t>.032100000</t>
  </si>
  <si>
    <t>Собственные доходы</t>
  </si>
  <si>
    <t>Субсидия на иные цели - Всего</t>
  </si>
  <si>
    <t xml:space="preserve">Поступление средств от оказания платных услуг - 130 </t>
  </si>
  <si>
    <t>Поступление платы родителей за путевки в летние лагеря - 130</t>
  </si>
  <si>
    <t>Код по бюджетной
классификации  
операции сектора
государственного
управления</t>
  </si>
  <si>
    <t>.032100100</t>
  </si>
  <si>
    <t>Всего поступлений с учетом остатка</t>
  </si>
  <si>
    <t xml:space="preserve">Субсидия на иные цели из средств муниципального бюджета на подключение к системе электронного документооборота </t>
  </si>
  <si>
    <t>.032101026</t>
  </si>
  <si>
    <t>Субсидия на иные цели для обеспечения пожарной безопасности учреждений образования БМР</t>
  </si>
  <si>
    <t>.032101424</t>
  </si>
  <si>
    <t>Субсидия на иные цели за счет средств МЦП "Энергосбережение и повышение энергетической эффективности Бокситогорского муниципального района ЛО на 2010-2015 годы"</t>
  </si>
  <si>
    <t>.032101600</t>
  </si>
  <si>
    <t>Субсидия на иные цели из средств муниципального бюджета на оплату расходов за медицинский осмотр работников образовательных учреждений</t>
  </si>
  <si>
    <t>.032101032</t>
  </si>
  <si>
    <t>Субсидия на иные цели из средств муниципального бюджета на приобретение и сопровождение программ по бухгалтерскому учету</t>
  </si>
  <si>
    <t>.032101031</t>
  </si>
  <si>
    <t>пункт 44фз закона</t>
  </si>
  <si>
    <t>до 400 тыс.руб.</t>
  </si>
  <si>
    <t>до 100 тыс. руб.</t>
  </si>
  <si>
    <t>запросы кот.цен</t>
  </si>
  <si>
    <t>для субъект.мал.предринимательства</t>
  </si>
  <si>
    <t>ест. Монополия (Ростелеком аб.плата Сан.эп.стан. - смывы, почта - переводы)</t>
  </si>
  <si>
    <t>водоотвед., водоснабж., теплоснабж.</t>
  </si>
  <si>
    <t>электроснабжение</t>
  </si>
  <si>
    <t>учебники</t>
  </si>
  <si>
    <t>устранение аварий</t>
  </si>
  <si>
    <t>конкурсные процедуры</t>
  </si>
  <si>
    <t>.000000500</t>
  </si>
  <si>
    <t>Субсидия на иные цели из средств местного бюджета на организацию и проведение летней оздоровительной работы в период летних школьных каникул</t>
  </si>
  <si>
    <t>.032101022</t>
  </si>
  <si>
    <t>.032 0707 5271060 612 241 000 015 100 - 032101022</t>
  </si>
  <si>
    <t>2 млн. руб</t>
  </si>
  <si>
    <t>Субсидия на иные цели для обеспечения пожарной безопасности учреждений образования БМР (укрепление материально технической базы)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</si>
  <si>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                                </t>
  </si>
  <si>
    <t xml:space="preserve">Услуга N 1    муниципальное задание на выполнение муниципальной услуги -  дополнительное образование детей </t>
  </si>
  <si>
    <t xml:space="preserve">Услуга N 3     мунципальное задание на содержание имущества </t>
  </si>
  <si>
    <t>Услуга N 2    муниципальное задание на выполнение муниципальной услуги -  стимулирующие выплаты педагогическим работникам</t>
  </si>
  <si>
    <t>электроэнергия</t>
  </si>
  <si>
    <t>Работы, услуги по содержанию имущества   100</t>
  </si>
  <si>
    <t>Работы, услуги по содержанию имущества   500</t>
  </si>
  <si>
    <t>реквизиты извещения на размещение закупки</t>
  </si>
  <si>
    <t>реквизиты документов</t>
  </si>
  <si>
    <t>контрольные цифры</t>
  </si>
  <si>
    <t>фактические цифры</t>
  </si>
  <si>
    <t>обслуживание АПС</t>
  </si>
  <si>
    <t>функционирование канала связи</t>
  </si>
  <si>
    <t>реквизиты договоров, мун.контрактов</t>
  </si>
  <si>
    <t>.032100006</t>
  </si>
  <si>
    <t>.032102332</t>
  </si>
  <si>
    <t>.032 0702 5231049 612 241 015 100 - 032101049</t>
  </si>
  <si>
    <t>.032101049</t>
  </si>
  <si>
    <t>Субсидия на иные цели за счёт средств местного бюджета на укрепление МТБ образовательных учреждений</t>
  </si>
  <si>
    <t>.032 0702 5237057 612 241 015 430 - 032102430</t>
  </si>
  <si>
    <t>Субсидия местного бюджета на организацию и проведение летней оздоровительной работы в период летних школьных каникул</t>
  </si>
  <si>
    <t>заправка картриджа</t>
  </si>
  <si>
    <t>МБОУ ДО "Пикалевская ДШИ"</t>
  </si>
  <si>
    <t>Работы, услуги по содержанию имущества</t>
  </si>
  <si>
    <t>КВР</t>
  </si>
  <si>
    <t>теплоэнергия</t>
  </si>
  <si>
    <t>.032101423</t>
  </si>
  <si>
    <t>Субсидия на развитие системы дополнительного образования детей</t>
  </si>
  <si>
    <t>032 0707 527 01 10600 612 241 015  - 032101022</t>
  </si>
  <si>
    <t>.032 0702 522 03 72020 612 241 015 141 4011 - 032102332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</si>
  <si>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</si>
  <si>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прочие</t>
  </si>
  <si>
    <t>"УТВЕРЖДЕНО"</t>
  </si>
  <si>
    <t>Председатель Комитета образования администрации Бокситогорского муниципального района Ленинградской области</t>
  </si>
  <si>
    <t>Смирнова М.М._______________________</t>
  </si>
  <si>
    <t>"____"_______________201  г</t>
  </si>
  <si>
    <t>ИЗМЕНЕНИЯ К ПЛАНУ</t>
  </si>
  <si>
    <t>ПО ПОСТУПЛЕНИЯМ И ВЫПЛАТАМ УЧРЕЖДЕНИЯ на 2017 год.</t>
  </si>
  <si>
    <t>.032 0703 5230100160 611 241  - 000000500</t>
  </si>
  <si>
    <t>.032 0703 52 3 01 00160 611 241 013  - 032100100</t>
  </si>
  <si>
    <t>.032 0703 52 3 01 00160 611 241 003 106   -   032100006</t>
  </si>
  <si>
    <t>.032 0703 52 3 01 00160 611 241 003   -   032100000</t>
  </si>
  <si>
    <t>таблица 2</t>
  </si>
  <si>
    <t>Код строки</t>
  </si>
  <si>
    <t>код субсидии</t>
  </si>
  <si>
    <t>отраслевой код</t>
  </si>
  <si>
    <t>кфср</t>
  </si>
  <si>
    <t>Код по бюд-жетной
класси-фика-ции  
РФ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</si>
  <si>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</si>
  <si>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</si>
  <si>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</si>
  <si>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</si>
  <si>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</si>
  <si>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</si>
  <si>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</si>
  <si>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</si>
  <si>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</si>
  <si>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</si>
  <si>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</si>
  <si>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</si>
  <si>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</si>
  <si>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</si>
  <si>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</si>
  <si>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</si>
  <si>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</si>
  <si>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</si>
  <si>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</si>
  <si>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</si>
  <si>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.00000000000000000</t>
  </si>
  <si>
    <t>130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</si>
  <si>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</si>
  <si>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</si>
  <si>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</si>
  <si>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</si>
  <si>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>.10600000000000000</t>
  </si>
  <si>
    <t>Услуга N 2    муниципальное задание на содержание имущества</t>
  </si>
  <si>
    <t>доходы от штрафов, пеней, иных сумм принудительного изъятия</t>
  </si>
  <si>
    <t xml:space="preserve">безвозмездные поступления от над-национальных организаций, прави-тельств иностранных государств, международных финансовых орга-низаций 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</si>
  <si>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</si>
  <si>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</si>
  <si>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</si>
  <si>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</si>
  <si>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</si>
  <si>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</si>
  <si>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</si>
  <si>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</si>
  <si>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</si>
  <si>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</si>
  <si>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</si>
  <si>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</si>
  <si>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</si>
  <si>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</si>
  <si>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</si>
  <si>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</si>
  <si>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</si>
  <si>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</si>
  <si>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 xml:space="preserve">ВСЕГО 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</si>
  <si>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</si>
  <si>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</si>
  <si>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</si>
  <si>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</si>
  <si>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</si>
  <si>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</si>
  <si>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</si>
  <si>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</si>
  <si>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</si>
  <si>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</si>
  <si>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 xml:space="preserve">.032 0703 52 3 01 00160 611 241 003                                                                         032 0703 52 3 01 00160 611 241 003 106 </t>
  </si>
  <si>
    <t>x</t>
  </si>
  <si>
    <t>.0703</t>
  </si>
  <si>
    <t>111</t>
  </si>
  <si>
    <t>112</t>
  </si>
  <si>
    <t>119</t>
  </si>
  <si>
    <t>244</t>
  </si>
  <si>
    <t xml:space="preserve">.032 0703 52 3 01 00160 611 241 013 </t>
  </si>
  <si>
    <t>851</t>
  </si>
  <si>
    <t>.032 0703 52 3 01 00160 611 241 003 106</t>
  </si>
  <si>
    <t>.032 0703 523 01 00160   611 241</t>
  </si>
  <si>
    <t>245</t>
  </si>
  <si>
    <t>247</t>
  </si>
  <si>
    <t>250</t>
  </si>
  <si>
    <t>прочие расходы (кроме рас ходов на закупку товаров, работ, услуг)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</si>
  <si>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</si>
  <si>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</si>
  <si>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</si>
  <si>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</si>
  <si>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</si>
  <si>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</si>
  <si>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</si>
  <si>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</si>
  <si>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</si>
  <si>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</si>
  <si>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</si>
  <si>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</si>
  <si>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</si>
  <si>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</si>
  <si>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</si>
  <si>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</si>
  <si>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</si>
  <si>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</si>
  <si>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</si>
  <si>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</si>
  <si>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</si>
  <si>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</si>
  <si>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Исполнитель                              ____________ _____________________</t>
  </si>
  <si>
    <t>доходы от аренды</t>
  </si>
  <si>
    <t>улуги связи</t>
  </si>
  <si>
    <t>Показатели по поступлениям и выплатам учреждения (подразделения) МБОУ ДО " Пикалевская ДШИ"</t>
  </si>
  <si>
    <t>поступление платы родителей за путевки</t>
  </si>
  <si>
    <t xml:space="preserve">Начисления на выплаты по оплате труда </t>
  </si>
  <si>
    <t xml:space="preserve"> ФИНАНСОВО-ХОЗЯЙСТВЕННОЙ ДЕЯТЕЛЬНОСТИ                                    МУНИЦИПАЛЬНОГО БЮДЖЕТНОГО ОБРАЗОВАТЕЛЬНОГО  УЧРЕЖДЕНИЯ ДОПОЛНИТЕЛЬНОГО ОБРАЗОВАНИЯ "ПИКАЛЕВСКАЯ ДЕТСКАЯ ШКОЛА ИСКУССТВ"   НА 2017 ГОД</t>
  </si>
  <si>
    <t>сумма</t>
  </si>
  <si>
    <t>изменения от 12,04,17</t>
  </si>
  <si>
    <t>итого</t>
  </si>
  <si>
    <t>.0707</t>
  </si>
  <si>
    <t>Субсидия на организацию и проведение летней оздоровительной работы в период летних школьных каникул</t>
  </si>
  <si>
    <t>изменения от 19,04,17</t>
  </si>
  <si>
    <t>Субсидия на развитие системы дополнительного образования дете</t>
  </si>
  <si>
    <t>.032 0702 52 3 03 10850 612 241 000 015</t>
  </si>
  <si>
    <t>.032 0702 52 3 03 10850 612 241 000 015  - 032101423</t>
  </si>
  <si>
    <t>113</t>
  </si>
  <si>
    <t>изменения от 29,05,17</t>
  </si>
  <si>
    <t>анализ воды</t>
  </si>
  <si>
    <t>изменения от 21,06,17</t>
  </si>
  <si>
    <t>не вкл в пз</t>
  </si>
  <si>
    <t>изменения от 26,09,17</t>
  </si>
  <si>
    <t>изменения от 18,10,17</t>
  </si>
  <si>
    <t>ОБЪЕМ ЗАКУПОК НА 2018 ГОД</t>
  </si>
  <si>
    <t xml:space="preserve">.032 0703 52 3 01 00160 611 241  003 </t>
  </si>
  <si>
    <t>Услуги связи (абонентская плата)</t>
  </si>
  <si>
    <t>интернет</t>
  </si>
  <si>
    <t>транспортные расходы</t>
  </si>
  <si>
    <t>медосмотр</t>
  </si>
  <si>
    <t>обслуж. бухгалтерских программ</t>
  </si>
  <si>
    <t>канц,  товары для бухгалтерии</t>
  </si>
  <si>
    <t>журналы, индивид.планы</t>
  </si>
  <si>
    <t>.032 0703 52 3 01 00160 611 241  013</t>
  </si>
  <si>
    <t>коммунальные услуги 100</t>
  </si>
  <si>
    <t>коммунальные услуги 500</t>
  </si>
  <si>
    <t>теплоэнергия,</t>
  </si>
  <si>
    <t>обслуж. Тепловых энергоустановок</t>
  </si>
  <si>
    <t>прочие энергосберегающие мероприятия</t>
  </si>
  <si>
    <t>обслуж. сети внутреннего противопож. водопровода и пож. кранов</t>
  </si>
  <si>
    <t>поверка тепловых счетчиков</t>
  </si>
  <si>
    <t>ремонт картриджа</t>
  </si>
  <si>
    <t>прочистка канализации</t>
  </si>
  <si>
    <t>прочие расходы по содерж. Имущества</t>
  </si>
  <si>
    <t>обслуж. комп. Оборудования и заправка картриджа</t>
  </si>
  <si>
    <t xml:space="preserve">Прочие работы, услуги        100            </t>
  </si>
  <si>
    <t>СОУ</t>
  </si>
  <si>
    <t>Прочее увеличение стоимости материальных активов</t>
  </si>
  <si>
    <t>ИНЫЕ ЦЕЛИ</t>
  </si>
  <si>
    <t>отд 01.12</t>
  </si>
  <si>
    <t>.032101200</t>
  </si>
  <si>
    <t>пп.4.п.1 ст.93</t>
  </si>
  <si>
    <t>комун услуги</t>
  </si>
  <si>
    <t xml:space="preserve">Работы, услуги по содержанию имущества  </t>
  </si>
  <si>
    <t xml:space="preserve">Прочие работы, услуги          </t>
  </si>
  <si>
    <t>бумага, стержни</t>
  </si>
  <si>
    <t>электротовары</t>
  </si>
  <si>
    <t>т/бумага, тряпки, вода</t>
  </si>
  <si>
    <t>картридж</t>
  </si>
  <si>
    <t>комп.мышь</t>
  </si>
  <si>
    <t>муз. Инструмент</t>
  </si>
  <si>
    <t>грамоты, открытки</t>
  </si>
  <si>
    <t>хозтовары+платье</t>
  </si>
  <si>
    <t>500(340)</t>
  </si>
  <si>
    <t>.032 0703  52 3 01 00160 611 241  - 000000500</t>
  </si>
  <si>
    <t>на 09 января 2018 г</t>
  </si>
  <si>
    <t>услуги связи 100 25000</t>
  </si>
  <si>
    <t>услуги связи 500 4000</t>
  </si>
  <si>
    <t xml:space="preserve">Прочие работы, услуги      остаток на нач г    </t>
  </si>
  <si>
    <t>п. 5 ч.1 ст. 93</t>
  </si>
  <si>
    <t>п. 4 ч.1 ст.93</t>
  </si>
  <si>
    <t>п.1 ч.1 ст.93</t>
  </si>
  <si>
    <t>п. 8 ч.1 ст.93</t>
  </si>
  <si>
    <t>п. 29 ч.1 ст. 93</t>
  </si>
  <si>
    <t>п.14 ч.1 ст. 93</t>
  </si>
  <si>
    <t>п.9 ч. 1 ст.93</t>
  </si>
  <si>
    <t>п.4 ч.1 ст.93</t>
  </si>
  <si>
    <t>п.5 ч.1 ст.93</t>
  </si>
  <si>
    <t>п.8 ч.1 ст.93</t>
  </si>
  <si>
    <t>п.29 ч.1 ст.93</t>
  </si>
  <si>
    <t>пг 18.01.18</t>
  </si>
  <si>
    <t>утв</t>
  </si>
  <si>
    <t>ПГ 18.01.18</t>
  </si>
  <si>
    <t>д. 01000000803 от 01.02.18  ЗАО "ЦБ "Охрана помещений"</t>
  </si>
  <si>
    <t>дератизация</t>
  </si>
  <si>
    <t>д. 38 от 29.01.18 с ООО "ПикалевоДез"</t>
  </si>
  <si>
    <t>д. 88897 от 01.02.18 от ООО " РКС-энерго"</t>
  </si>
  <si>
    <t>изв. 12.02.18</t>
  </si>
  <si>
    <t>д. 63 от 19.02.18 с АО "ПТС" в т.ч кр 28097,85</t>
  </si>
  <si>
    <t>д. 186/18-ТО от 01.02.18 с ООО "Гранд -технолоджи"</t>
  </si>
  <si>
    <t>д. 1 от 01.012.18 с ООО "Мега"</t>
  </si>
  <si>
    <t>на 05 марта 2018 г</t>
  </si>
  <si>
    <t>Субсидия на иные цели на оплату штрафов надзорных органов</t>
  </si>
  <si>
    <t>.032 0703 52 3 03 14230 612 241 000 015</t>
  </si>
  <si>
    <t>295</t>
  </si>
  <si>
    <t>853</t>
  </si>
  <si>
    <t>д. 24700004108 от 01.02.18 с ПАО "Ростелеком"</t>
  </si>
  <si>
    <t>д. 87/18 от 01.02.18 с ООО "ПТК"</t>
  </si>
  <si>
    <t>сбор и вывоз мусора</t>
  </si>
  <si>
    <t>платные услуги</t>
  </si>
  <si>
    <t>дог 1-9 ,10-11от 01.02.18</t>
  </si>
  <si>
    <t xml:space="preserve">участие в конкурсе   </t>
  </si>
  <si>
    <t>д. 4 от 01.02.18 с ООО "Фестивальный комитет "Жизнь городов"</t>
  </si>
  <si>
    <t>МФУ</t>
  </si>
  <si>
    <t>светильники</t>
  </si>
  <si>
    <t>д №ПК19/2018-ВК от 23.03.18, кз 2106, св 27.03.18, ЕИС+</t>
  </si>
  <si>
    <t>д. 2 от 22.03.18 с ИП Кузьмин</t>
  </si>
  <si>
    <t>189</t>
  </si>
  <si>
    <t>на 09 апреля 2018 г</t>
  </si>
  <si>
    <t>131</t>
  </si>
  <si>
    <t>д. 3 от 09.04.18 с ИП Кузьмин</t>
  </si>
  <si>
    <t>на 20 апреля 2018 г</t>
  </si>
  <si>
    <t>183</t>
  </si>
  <si>
    <t>14140110000000000</t>
  </si>
  <si>
    <t>.032 0703 523 02 72020 612 241 015  - 032102332</t>
  </si>
  <si>
    <t>0703</t>
  </si>
  <si>
    <t>296</t>
  </si>
  <si>
    <t>.032 0707 52710600 612 241 000 015 100 - 032101022 лагерь (.000000500)</t>
  </si>
  <si>
    <t>з/п мед</t>
  </si>
  <si>
    <t>страхование 500</t>
  </si>
  <si>
    <t xml:space="preserve">питание 500 </t>
  </si>
  <si>
    <t>медикаменты 500</t>
  </si>
  <si>
    <t>костюмы для хора "Радуга"</t>
  </si>
  <si>
    <t>захоронение мусора</t>
  </si>
  <si>
    <t>д. 34-О/18 от 01.02.18 с ООО "Благоустройство"</t>
  </si>
  <si>
    <t>д. 41/18-П от 05.04.18 с ГБУЗ Ло "БМБ"</t>
  </si>
  <si>
    <t>лицензия на эл. докум</t>
  </si>
  <si>
    <t>д. 999019919 от 28.03.18 с ООО "Аракс"</t>
  </si>
  <si>
    <t>на 21 мая 2018 г</t>
  </si>
  <si>
    <t>метод литература</t>
  </si>
  <si>
    <t>вода</t>
  </si>
  <si>
    <t>д. б/н от 02.04.18 с ООО "Комус-Петербург"</t>
  </si>
  <si>
    <t>медосмотр псих</t>
  </si>
  <si>
    <t>д. 28 от 13.04.18 с ГКУЗ ЛО "ТПБ"</t>
  </si>
  <si>
    <t>д. SYS 1374972574 от 08.05.18 с СПАО "ПЕСО-Гарантия"</t>
  </si>
  <si>
    <t>д. 6 от 19.04.18 с ООО "Комус-Петербург"</t>
  </si>
  <si>
    <t>хоз тов</t>
  </si>
  <si>
    <t>канц,  товары для уебного проц</t>
  </si>
  <si>
    <t>д. 5 от 19.04.18 с ООО "Комус-Перербург"</t>
  </si>
  <si>
    <t>д. 142 от 16.05.18 с ИП Козлов С.В.</t>
  </si>
  <si>
    <t>лаб исследования микроклимата, осещенности, воды</t>
  </si>
  <si>
    <t>д. 02/297/25 от 27.03.18 с ФБУЗ "ЦГиЭ в ЛО"</t>
  </si>
  <si>
    <t>д. 10 от 31.05.18 с ИП Погодина А.Л.</t>
  </si>
  <si>
    <t>сангиг обучение</t>
  </si>
  <si>
    <t>д. 02/199/11 от 29.05.18 с ФБУЗ "ЦГиЭ в ЛО"</t>
  </si>
  <si>
    <t>доставка метод литературы</t>
  </si>
  <si>
    <t>д. 18 от 05.06.18 с ОАО "Фармация"</t>
  </si>
  <si>
    <t>мольберт, стол</t>
  </si>
  <si>
    <t>д. 6 от 09.06.18 с ИП Пронько О.Г.</t>
  </si>
  <si>
    <t>на 18 июня 2018 г</t>
  </si>
  <si>
    <t>трансп расх</t>
  </si>
  <si>
    <t>расх матер</t>
  </si>
  <si>
    <t>д. 30/2018 от 14.06.18 с ООО "Тихвинская епархиальная паломническая служба"</t>
  </si>
  <si>
    <t xml:space="preserve">экскурсия 500 </t>
  </si>
  <si>
    <t>профил.испытания электрооборудования</t>
  </si>
  <si>
    <t>д. 017-18-03 от 18.06.18 с ООО "Гарант"</t>
  </si>
  <si>
    <t>гитара</t>
  </si>
  <si>
    <t>ав отчет 5 от 04.04.18 с Скоблова Т.П.</t>
  </si>
  <si>
    <t>д. б/н от 29.05.18 с Мурадова Е.М.</t>
  </si>
  <si>
    <t>на 12 июля 2018 г</t>
  </si>
  <si>
    <t>товары для худ. творчества</t>
  </si>
  <si>
    <t>д. 75 от 18.06. с ИП Росляков А.Л.</t>
  </si>
  <si>
    <t>питание</t>
  </si>
  <si>
    <t>дог№б/н от 18.07.2018 с ИП Смирнов</t>
  </si>
  <si>
    <t>трансп расх тихвин  20.06.2018</t>
  </si>
  <si>
    <t>дог№б/н от 13.06.2018 с ИП Кузьмин В.Н.</t>
  </si>
  <si>
    <t>поставка художественных материалов</t>
  </si>
  <si>
    <t xml:space="preserve">дог№611 от 29.06.2018 с ООО"Краски-Кисти СПб" </t>
  </si>
  <si>
    <t>д №15 от 18.06.18 ООО Комус-Петербург</t>
  </si>
  <si>
    <t>роутер (маршрутизатор)</t>
  </si>
  <si>
    <t>д №214 от 20.06.18 ООО ГИППОКРАТ</t>
  </si>
  <si>
    <t>д №ЮР-315 от 07.06.18 ООО Н-Регион</t>
  </si>
  <si>
    <t>интернет (доступ с 15.06.18)</t>
  </si>
  <si>
    <t xml:space="preserve">д №НРБ-21 от 08.08.18 ООО Н-Регион Бокситогорск </t>
  </si>
  <si>
    <t>д №19/01/18 от 05.07.18 ООО Диалог</t>
  </si>
  <si>
    <t>журналы</t>
  </si>
  <si>
    <t>д. 218 от 06.09.18 с ИП Почетный</t>
  </si>
  <si>
    <t>д. б/н от 31.05.18 с ФБУЗ "ЦГиЭ в ЛО"</t>
  </si>
  <si>
    <t>ав отчет 8 от 21.09.18 с Бойцова Е.С.</t>
  </si>
  <si>
    <t>хоз расходы, канц  0707</t>
  </si>
  <si>
    <t>ав отчет 10 от 20.08.18 с Пежемская И.Г.</t>
  </si>
  <si>
    <t xml:space="preserve">рамки </t>
  </si>
  <si>
    <t>ремонт комп техники и монтаж ЛВС</t>
  </si>
  <si>
    <t>д. 12 от 01.10.18 с  МБОУ ДО "БЦДО"</t>
  </si>
  <si>
    <t>не вкл</t>
  </si>
  <si>
    <t>повышение квалификации</t>
  </si>
  <si>
    <t>д. 053-П/18 от 10.04.18 с ГБУК ЛО "Дом народного творчества"</t>
  </si>
  <si>
    <t>на 23 октября 2018 г</t>
  </si>
  <si>
    <t xml:space="preserve">Прочие работы, услуги      </t>
  </si>
  <si>
    <t>д. 17 от 24.10.18 с ООО "ЖилКомСервис"</t>
  </si>
  <si>
    <t>содержание и и текущий ремонт общего имущества в МКД и оплата потребляемых  коммунальных ресурсов с 01.01.-31.12</t>
  </si>
  <si>
    <t>д. 156-ПЗ/2018 от 25.10.18 с ООО "Энерго-Сервис"</t>
  </si>
  <si>
    <t>обучение электробезопасности</t>
  </si>
  <si>
    <t>установка роутера</t>
  </si>
  <si>
    <t>д. 19/02/18 от 12.10.18 с ООО "Диалог"</t>
  </si>
  <si>
    <t>коммутатор</t>
  </si>
  <si>
    <t>ав отчет 12 от 06.11.18 с Смецкая О.А.</t>
  </si>
  <si>
    <t>пошив костюмов</t>
  </si>
  <si>
    <t>д. 15 от 01.11.18 с МБОУ ДО "БЦДО"</t>
  </si>
  <si>
    <t>на 13 ноября 2018 г</t>
  </si>
  <si>
    <t>д. 3585 от 14.11.18 с АНО ДПО "ИПКУ"</t>
  </si>
  <si>
    <t>д. 63 от 01.11.18 с АО "ПТС"</t>
  </si>
  <si>
    <t>д. 49/410-2018 от 12.11.18 с ФГБОУ ВО "СПБГУК"</t>
  </si>
  <si>
    <t>хозтовары (лампы, мешки для мусора)</t>
  </si>
  <si>
    <t>ав отчет 13 от 26.11.18 с Коннова Н.Н.</t>
  </si>
  <si>
    <t>ав отчет 1 от 20.03.18 С Пежемская И.Г.</t>
  </si>
  <si>
    <t>семинар</t>
  </si>
  <si>
    <t>д. 1941 от 19.11.18 с ООО "ЛВС"</t>
  </si>
  <si>
    <t xml:space="preserve"> водоснабжение, водоотведение с 01.11-по 31.12.</t>
  </si>
  <si>
    <t>д № ПК19/2018-ВК от 01.11.18 с ГУП "Леноблводоканал"</t>
  </si>
  <si>
    <t xml:space="preserve"> водоснабжение, водоотведение с 01.01-по 31.12.</t>
  </si>
  <si>
    <t>на 11 декабря 2018 г</t>
  </si>
  <si>
    <t>ж</t>
  </si>
  <si>
    <t>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</si>
</sst>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u val="single"/>
      <sz val="10"/>
      <name val="Arial Cyr"/>
      <family val="0"/>
    </font>
    <font>
      <b/>
      <sz val="10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color indexed="10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5" fillId="0" borderId="13" xfId="0" applyFont="1" applyFill="1" applyBorder="1" applyAlignment="1">
      <alignment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9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0" fillId="0" borderId="13" xfId="0" applyNumberForma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172" fontId="26" fillId="0" borderId="13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4" fontId="25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25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2" xfId="0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wrapText="1"/>
    </xf>
    <xf numFmtId="0" fontId="36" fillId="24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wrapText="1"/>
    </xf>
    <xf numFmtId="4" fontId="36" fillId="0" borderId="10" xfId="0" applyNumberFormat="1" applyFont="1" applyFill="1" applyBorder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6" fillId="24" borderId="13" xfId="0" applyNumberFormat="1" applyFont="1" applyFill="1" applyBorder="1" applyAlignment="1">
      <alignment wrapText="1"/>
    </xf>
    <xf numFmtId="4" fontId="35" fillId="0" borderId="13" xfId="0" applyNumberFormat="1" applyFont="1" applyBorder="1" applyAlignment="1">
      <alignment wrapText="1"/>
    </xf>
    <xf numFmtId="4" fontId="36" fillId="0" borderId="13" xfId="0" applyNumberFormat="1" applyFont="1" applyFill="1" applyBorder="1" applyAlignment="1">
      <alignment wrapText="1"/>
    </xf>
    <xf numFmtId="4" fontId="35" fillId="0" borderId="13" xfId="0" applyNumberFormat="1" applyFont="1" applyFill="1" applyBorder="1" applyAlignment="1">
      <alignment wrapText="1"/>
    </xf>
    <xf numFmtId="0" fontId="36" fillId="0" borderId="13" xfId="0" applyFont="1" applyFill="1" applyBorder="1" applyAlignment="1">
      <alignment/>
    </xf>
    <xf numFmtId="2" fontId="36" fillId="0" borderId="13" xfId="0" applyNumberFormat="1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" fontId="37" fillId="0" borderId="13" xfId="0" applyNumberFormat="1" applyFont="1" applyFill="1" applyBorder="1" applyAlignment="1">
      <alignment wrapText="1"/>
    </xf>
    <xf numFmtId="4" fontId="35" fillId="0" borderId="13" xfId="0" applyNumberFormat="1" applyFont="1" applyFill="1" applyBorder="1" applyAlignment="1">
      <alignment horizontal="right" wrapText="1"/>
    </xf>
    <xf numFmtId="4" fontId="25" fillId="0" borderId="13" xfId="0" applyNumberFormat="1" applyFont="1" applyFill="1" applyBorder="1" applyAlignment="1">
      <alignment horizontal="right" wrapText="1"/>
    </xf>
    <xf numFmtId="4" fontId="25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2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wrapText="1"/>
    </xf>
    <xf numFmtId="4" fontId="26" fillId="0" borderId="13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2" fontId="25" fillId="0" borderId="13" xfId="0" applyNumberFormat="1" applyFont="1" applyFill="1" applyBorder="1" applyAlignment="1">
      <alignment/>
    </xf>
    <xf numFmtId="0" fontId="29" fillId="0" borderId="12" xfId="0" applyFont="1" applyFill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6" fillId="0" borderId="0" xfId="0" applyFont="1" applyAlignment="1">
      <alignment horizontal="right"/>
    </xf>
    <xf numFmtId="0" fontId="0" fillId="0" borderId="10" xfId="0" applyFill="1" applyBorder="1" applyAlignment="1">
      <alignment horizontal="right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38" fillId="5" borderId="10" xfId="0" applyFont="1" applyFill="1" applyBorder="1" applyAlignment="1">
      <alignment horizontal="left"/>
    </xf>
    <xf numFmtId="49" fontId="38" fillId="5" borderId="10" xfId="0" applyNumberFormat="1" applyFont="1" applyFill="1" applyBorder="1" applyAlignment="1">
      <alignment horizontal="center"/>
    </xf>
    <xf numFmtId="0" fontId="38" fillId="5" borderId="10" xfId="0" applyFont="1" applyFill="1" applyBorder="1" applyAlignment="1">
      <alignment horizontal="center"/>
    </xf>
    <xf numFmtId="4" fontId="38" fillId="5" borderId="10" xfId="0" applyNumberFormat="1" applyFont="1" applyFill="1" applyBorder="1" applyAlignment="1">
      <alignment horizontal="right"/>
    </xf>
    <xf numFmtId="4" fontId="38" fillId="5" borderId="10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left"/>
    </xf>
    <xf numFmtId="0" fontId="38" fillId="24" borderId="10" xfId="0" applyFont="1" applyFill="1" applyBorder="1" applyAlignment="1">
      <alignment horizontal="left"/>
    </xf>
    <xf numFmtId="49" fontId="38" fillId="24" borderId="10" xfId="0" applyNumberFormat="1" applyFont="1" applyFill="1" applyBorder="1" applyAlignment="1">
      <alignment horizontal="center" vertical="center"/>
    </xf>
    <xf numFmtId="49" fontId="38" fillId="24" borderId="10" xfId="0" applyNumberFormat="1" applyFont="1" applyFill="1" applyBorder="1" applyAlignment="1">
      <alignment horizontal="center"/>
    </xf>
    <xf numFmtId="49" fontId="38" fillId="24" borderId="10" xfId="0" applyNumberFormat="1" applyFont="1" applyFill="1" applyBorder="1" applyAlignment="1">
      <alignment horizontal="left"/>
    </xf>
    <xf numFmtId="4" fontId="38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horizontal="right"/>
    </xf>
    <xf numFmtId="0" fontId="42" fillId="5" borderId="10" xfId="0" applyFont="1" applyFill="1" applyBorder="1" applyAlignment="1">
      <alignment horizontal="left"/>
    </xf>
    <xf numFmtId="49" fontId="42" fillId="5" borderId="10" xfId="0" applyNumberFormat="1" applyFont="1" applyFill="1" applyBorder="1" applyAlignment="1">
      <alignment horizontal="center"/>
    </xf>
    <xf numFmtId="4" fontId="42" fillId="5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8" fillId="0" borderId="0" xfId="0" applyFont="1" applyFill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/>
    </xf>
    <xf numFmtId="49" fontId="43" fillId="24" borderId="10" xfId="0" applyNumberFormat="1" applyFont="1" applyFill="1" applyBorder="1" applyAlignment="1">
      <alignment horizontal="center"/>
    </xf>
    <xf numFmtId="4" fontId="42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center" vertical="center"/>
    </xf>
    <xf numFmtId="4" fontId="43" fillId="24" borderId="10" xfId="0" applyNumberFormat="1" applyFont="1" applyFill="1" applyBorder="1" applyAlignment="1">
      <alignment horizontal="right"/>
    </xf>
    <xf numFmtId="0" fontId="43" fillId="11" borderId="10" xfId="0" applyFont="1" applyFill="1" applyBorder="1" applyAlignment="1">
      <alignment horizontal="left" wrapText="1"/>
    </xf>
    <xf numFmtId="49" fontId="38" fillId="11" borderId="10" xfId="0" applyNumberFormat="1" applyFont="1" applyFill="1" applyBorder="1" applyAlignment="1">
      <alignment horizontal="center"/>
    </xf>
    <xf numFmtId="49" fontId="38" fillId="11" borderId="10" xfId="0" applyNumberFormat="1" applyFont="1" applyFill="1" applyBorder="1" applyAlignment="1">
      <alignment horizontal="center" vertical="center"/>
    </xf>
    <xf numFmtId="4" fontId="38" fillId="11" borderId="10" xfId="0" applyNumberFormat="1" applyFont="1" applyFill="1" applyBorder="1" applyAlignment="1">
      <alignment horizontal="right"/>
    </xf>
    <xf numFmtId="4" fontId="38" fillId="11" borderId="10" xfId="0" applyNumberFormat="1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left" wrapText="1"/>
    </xf>
    <xf numFmtId="49" fontId="43" fillId="11" borderId="10" xfId="0" applyNumberFormat="1" applyFont="1" applyFill="1" applyBorder="1" applyAlignment="1">
      <alignment horizontal="center"/>
    </xf>
    <xf numFmtId="4" fontId="42" fillId="11" borderId="10" xfId="0" applyNumberFormat="1" applyFont="1" applyFill="1" applyBorder="1" applyAlignment="1">
      <alignment horizontal="right"/>
    </xf>
    <xf numFmtId="4" fontId="42" fillId="11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6" fillId="0" borderId="0" xfId="0" applyFont="1" applyAlignment="1">
      <alignment horizontal="justify"/>
    </xf>
    <xf numFmtId="0" fontId="0" fillId="0" borderId="10" xfId="0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9" fontId="38" fillId="0" borderId="11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left"/>
    </xf>
    <xf numFmtId="4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38" fillId="0" borderId="12" xfId="0" applyNumberFormat="1" applyFont="1" applyFill="1" applyBorder="1" applyAlignment="1">
      <alignment horizontal="center"/>
    </xf>
    <xf numFmtId="0" fontId="38" fillId="24" borderId="13" xfId="0" applyFont="1" applyFill="1" applyBorder="1" applyAlignment="1">
      <alignment wrapText="1"/>
    </xf>
    <xf numFmtId="49" fontId="38" fillId="24" borderId="12" xfId="0" applyNumberFormat="1" applyFont="1" applyFill="1" applyBorder="1" applyAlignment="1">
      <alignment horizontal="center"/>
    </xf>
    <xf numFmtId="49" fontId="38" fillId="24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9" fillId="11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25" borderId="10" xfId="0" applyNumberFormat="1" applyFont="1" applyFill="1" applyBorder="1" applyAlignment="1">
      <alignment wrapText="1"/>
    </xf>
    <xf numFmtId="0" fontId="49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1" fillId="0" borderId="16" xfId="0" applyFont="1" applyBorder="1" applyAlignment="1">
      <alignment horizontal="center" wrapText="1"/>
    </xf>
    <xf numFmtId="4" fontId="0" fillId="19" borderId="10" xfId="0" applyNumberFormat="1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50" fillId="11" borderId="18" xfId="0" applyFont="1" applyFill="1" applyBorder="1" applyAlignment="1">
      <alignment wrapText="1"/>
    </xf>
    <xf numFmtId="4" fontId="50" fillId="11" borderId="10" xfId="0" applyNumberFormat="1" applyFont="1" applyFill="1" applyBorder="1" applyAlignment="1">
      <alignment wrapText="1"/>
    </xf>
    <xf numFmtId="0" fontId="50" fillId="11" borderId="10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4" fontId="0" fillId="25" borderId="23" xfId="0" applyNumberFormat="1" applyFont="1" applyFill="1" applyBorder="1" applyAlignment="1">
      <alignment wrapText="1"/>
    </xf>
    <xf numFmtId="0" fontId="26" fillId="0" borderId="10" xfId="0" applyFont="1" applyBorder="1" applyAlignment="1">
      <alignment horizontal="center"/>
    </xf>
    <xf numFmtId="4" fontId="0" fillId="24" borderId="23" xfId="0" applyNumberFormat="1" applyFont="1" applyFill="1" applyBorder="1" applyAlignment="1">
      <alignment wrapText="1"/>
    </xf>
    <xf numFmtId="0" fontId="25" fillId="24" borderId="19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wrapText="1"/>
    </xf>
    <xf numFmtId="0" fontId="0" fillId="0" borderId="14" xfId="0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17" borderId="23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5" borderId="10" xfId="0" applyFill="1" applyBorder="1" applyAlignment="1">
      <alignment wrapText="1"/>
    </xf>
    <xf numFmtId="0" fontId="0" fillId="0" borderId="15" xfId="0" applyFill="1" applyBorder="1" applyAlignment="1">
      <alignment horizontal="left" vertical="center" wrapText="1"/>
    </xf>
    <xf numFmtId="0" fontId="48" fillId="24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 wrapText="1"/>
    </xf>
    <xf numFmtId="4" fontId="1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27" fillId="26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0" fillId="15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27" borderId="0" xfId="0" applyFill="1" applyBorder="1" applyAlignment="1">
      <alignment wrapText="1"/>
    </xf>
    <xf numFmtId="0" fontId="0" fillId="27" borderId="0" xfId="0" applyFill="1" applyBorder="1" applyAlignment="1">
      <alignment horizontal="center" wrapText="1"/>
    </xf>
    <xf numFmtId="4" fontId="38" fillId="0" borderId="0" xfId="0" applyNumberFormat="1" applyFont="1" applyFill="1" applyAlignment="1">
      <alignment horizontal="left"/>
    </xf>
    <xf numFmtId="0" fontId="45" fillId="0" borderId="10" xfId="0" applyFont="1" applyFill="1" applyBorder="1" applyAlignment="1">
      <alignment horizontal="right"/>
    </xf>
    <xf numFmtId="4" fontId="0" fillId="25" borderId="13" xfId="0" applyNumberFormat="1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wrapText="1"/>
    </xf>
    <xf numFmtId="4" fontId="52" fillId="25" borderId="10" xfId="0" applyNumberFormat="1" applyFont="1" applyFill="1" applyBorder="1" applyAlignment="1">
      <alignment/>
    </xf>
    <xf numFmtId="4" fontId="52" fillId="24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4" fontId="52" fillId="1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36" fillId="0" borderId="16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17" borderId="0" xfId="0" applyFill="1" applyAlignment="1">
      <alignment/>
    </xf>
    <xf numFmtId="0" fontId="52" fillId="24" borderId="16" xfId="0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49" fontId="38" fillId="11" borderId="10" xfId="0" applyNumberFormat="1" applyFont="1" applyFill="1" applyBorder="1" applyAlignment="1">
      <alignment horizontal="left"/>
    </xf>
    <xf numFmtId="0" fontId="38" fillId="11" borderId="10" xfId="0" applyFont="1" applyFill="1" applyBorder="1" applyAlignment="1">
      <alignment horizontal="left" wrapText="1"/>
    </xf>
    <xf numFmtId="0" fontId="38" fillId="11" borderId="10" xfId="0" applyFont="1" applyFill="1" applyBorder="1" applyAlignment="1">
      <alignment wrapText="1"/>
    </xf>
    <xf numFmtId="49" fontId="38" fillId="11" borderId="12" xfId="0" applyNumberFormat="1" applyFont="1" applyFill="1" applyBorder="1" applyAlignment="1">
      <alignment horizontal="center"/>
    </xf>
    <xf numFmtId="4" fontId="38" fillId="12" borderId="10" xfId="0" applyNumberFormat="1" applyFont="1" applyFill="1" applyBorder="1" applyAlignment="1">
      <alignment horizontal="right"/>
    </xf>
    <xf numFmtId="0" fontId="21" fillId="24" borderId="16" xfId="0" applyFont="1" applyFill="1" applyBorder="1" applyAlignment="1">
      <alignment horizontal="center" wrapText="1"/>
    </xf>
    <xf numFmtId="0" fontId="38" fillId="24" borderId="10" xfId="0" applyFont="1" applyFill="1" applyBorder="1" applyAlignment="1">
      <alignment horizontal="left" wrapText="1"/>
    </xf>
    <xf numFmtId="49" fontId="42" fillId="24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0" fontId="51" fillId="0" borderId="16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8" fillId="27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19" borderId="12" xfId="0" applyFont="1" applyFill="1" applyBorder="1" applyAlignment="1">
      <alignment horizontal="center" wrapText="1"/>
    </xf>
    <xf numFmtId="0" fontId="0" fillId="19" borderId="10" xfId="0" applyFill="1" applyBorder="1" applyAlignment="1">
      <alignment/>
    </xf>
    <xf numFmtId="2" fontId="0" fillId="19" borderId="12" xfId="0" applyNumberFormat="1" applyFont="1" applyFill="1" applyBorder="1" applyAlignment="1">
      <alignment horizontal="center" wrapText="1"/>
    </xf>
    <xf numFmtId="4" fontId="0" fillId="24" borderId="10" xfId="0" applyNumberFormat="1" applyFont="1" applyFill="1" applyBorder="1" applyAlignment="1">
      <alignment wrapText="1"/>
    </xf>
    <xf numFmtId="0" fontId="38" fillId="26" borderId="10" xfId="0" applyFont="1" applyFill="1" applyBorder="1" applyAlignment="1">
      <alignment horizontal="center"/>
    </xf>
    <xf numFmtId="4" fontId="38" fillId="26" borderId="10" xfId="0" applyNumberFormat="1" applyFont="1" applyFill="1" applyBorder="1" applyAlignment="1">
      <alignment horizontal="right"/>
    </xf>
    <xf numFmtId="49" fontId="42" fillId="26" borderId="10" xfId="0" applyNumberFormat="1" applyFont="1" applyFill="1" applyBorder="1" applyAlignment="1">
      <alignment horizontal="center" vertical="center"/>
    </xf>
    <xf numFmtId="49" fontId="38" fillId="26" borderId="10" xfId="0" applyNumberFormat="1" applyFont="1" applyFill="1" applyBorder="1" applyAlignment="1">
      <alignment horizontal="center"/>
    </xf>
    <xf numFmtId="49" fontId="38" fillId="26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4" fontId="0" fillId="25" borderId="16" xfId="0" applyNumberFormat="1" applyFont="1" applyFill="1" applyBorder="1" applyAlignment="1">
      <alignment horizontal="right" vertical="center" wrapText="1"/>
    </xf>
    <xf numFmtId="4" fontId="47" fillId="24" borderId="10" xfId="0" applyNumberFormat="1" applyFont="1" applyFill="1" applyBorder="1" applyAlignment="1">
      <alignment wrapText="1"/>
    </xf>
    <xf numFmtId="0" fontId="21" fillId="0" borderId="16" xfId="0" applyFont="1" applyFill="1" applyBorder="1" applyAlignment="1">
      <alignment horizontal="center" wrapText="1"/>
    </xf>
    <xf numFmtId="4" fontId="0" fillId="24" borderId="16" xfId="0" applyNumberFormat="1" applyFont="1" applyFill="1" applyBorder="1" applyAlignment="1">
      <alignment horizontal="right" vertical="center" wrapText="1"/>
    </xf>
    <xf numFmtId="4" fontId="0" fillId="19" borderId="10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left" wrapText="1"/>
    </xf>
    <xf numFmtId="0" fontId="29" fillId="24" borderId="12" xfId="0" applyFont="1" applyFill="1" applyBorder="1" applyAlignment="1">
      <alignment horizontal="left" wrapText="1"/>
    </xf>
    <xf numFmtId="0" fontId="52" fillId="0" borderId="15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52" fillId="0" borderId="17" xfId="0" applyFont="1" applyFill="1" applyBorder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0" fillId="24" borderId="16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21" fillId="0" borderId="16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0" fillId="24" borderId="16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29" fillId="24" borderId="11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5" fillId="0" borderId="16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48" fillId="0" borderId="17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left" wrapText="1"/>
    </xf>
    <xf numFmtId="0" fontId="42" fillId="24" borderId="11" xfId="0" applyFont="1" applyFill="1" applyBorder="1" applyAlignment="1">
      <alignment horizontal="left" wrapText="1"/>
    </xf>
    <xf numFmtId="49" fontId="38" fillId="0" borderId="16" xfId="0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center"/>
    </xf>
    <xf numFmtId="0" fontId="42" fillId="24" borderId="13" xfId="0" applyFont="1" applyFill="1" applyBorder="1" applyAlignment="1">
      <alignment horizontal="left"/>
    </xf>
    <xf numFmtId="0" fontId="42" fillId="24" borderId="11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24" borderId="13" xfId="0" applyFont="1" applyFill="1" applyBorder="1" applyAlignment="1">
      <alignment horizontal="left" wrapText="1"/>
    </xf>
    <xf numFmtId="0" fontId="38" fillId="24" borderId="11" xfId="0" applyFont="1" applyFill="1" applyBorder="1" applyAlignment="1">
      <alignment horizontal="left" wrapText="1"/>
    </xf>
    <xf numFmtId="0" fontId="25" fillId="24" borderId="11" xfId="0" applyFont="1" applyFill="1" applyBorder="1" applyAlignment="1">
      <alignment horizontal="left" wrapText="1"/>
    </xf>
    <xf numFmtId="0" fontId="42" fillId="24" borderId="10" xfId="0" applyFont="1" applyFill="1" applyBorder="1" applyAlignment="1">
      <alignment horizontal="center" wrapText="1"/>
    </xf>
    <xf numFmtId="0" fontId="42" fillId="24" borderId="1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view="pageBreakPreview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N16384"/>
    </sheetView>
  </sheetViews>
  <sheetFormatPr defaultColWidth="9.00390625" defaultRowHeight="12.75"/>
  <cols>
    <col min="1" max="1" width="36.125" style="0" customWidth="1"/>
    <col min="2" max="2" width="12.125" style="0" customWidth="1"/>
    <col min="3" max="3" width="5.875" style="0" customWidth="1"/>
    <col min="4" max="4" width="9.625" style="2" customWidth="1"/>
    <col min="5" max="5" width="14.25390625" style="0" customWidth="1"/>
    <col min="7" max="7" width="12.75390625" style="0" customWidth="1"/>
    <col min="9" max="9" width="12.75390625" style="0" customWidth="1"/>
    <col min="11" max="11" width="12.75390625" style="0" customWidth="1"/>
    <col min="13" max="13" width="12.75390625" style="0" bestFit="1" customWidth="1"/>
    <col min="15" max="15" width="12.75390625" style="0" bestFit="1" customWidth="1"/>
    <col min="17" max="17" width="12.75390625" style="0" bestFit="1" customWidth="1"/>
  </cols>
  <sheetData>
    <row r="1" spans="1:3" ht="15.75">
      <c r="A1" s="1" t="s">
        <v>0</v>
      </c>
      <c r="B1" s="1"/>
      <c r="C1" s="1"/>
    </row>
    <row r="2" spans="1:4" ht="12.75">
      <c r="A2" s="3"/>
      <c r="D2" s="4" t="s">
        <v>104</v>
      </c>
    </row>
    <row r="3" spans="1:5" ht="15.75">
      <c r="A3" s="5" t="s">
        <v>1</v>
      </c>
      <c r="B3" s="5"/>
      <c r="C3" s="5"/>
      <c r="D3" s="6"/>
      <c r="E3" s="31"/>
    </row>
    <row r="4" spans="1:5" ht="16.5" customHeight="1">
      <c r="A4" s="330" t="s">
        <v>119</v>
      </c>
      <c r="B4" s="330"/>
      <c r="C4" s="330"/>
      <c r="D4" s="330"/>
      <c r="E4" s="330"/>
    </row>
    <row r="5" spans="1:5" ht="12.75">
      <c r="A5" s="7"/>
      <c r="B5" s="7"/>
      <c r="C5" s="7"/>
      <c r="D5" s="6"/>
      <c r="E5" s="7"/>
    </row>
    <row r="6" spans="1:17" ht="20.25" customHeight="1">
      <c r="A6" s="331" t="s">
        <v>2</v>
      </c>
      <c r="B6" s="331" t="s">
        <v>3</v>
      </c>
      <c r="C6" s="333" t="s">
        <v>106</v>
      </c>
      <c r="D6" s="332" t="s">
        <v>52</v>
      </c>
      <c r="E6" s="336" t="s">
        <v>233</v>
      </c>
      <c r="F6" s="336" t="s">
        <v>234</v>
      </c>
      <c r="G6" s="336" t="s">
        <v>235</v>
      </c>
      <c r="H6" s="336" t="s">
        <v>238</v>
      </c>
      <c r="I6" s="336" t="s">
        <v>235</v>
      </c>
      <c r="J6" s="336" t="s">
        <v>243</v>
      </c>
      <c r="K6" s="336" t="s">
        <v>235</v>
      </c>
      <c r="L6" s="336" t="s">
        <v>245</v>
      </c>
      <c r="M6" s="336" t="s">
        <v>235</v>
      </c>
      <c r="N6" s="336" t="s">
        <v>247</v>
      </c>
      <c r="O6" s="336" t="s">
        <v>235</v>
      </c>
      <c r="P6" s="336" t="s">
        <v>248</v>
      </c>
      <c r="Q6" s="336" t="s">
        <v>235</v>
      </c>
    </row>
    <row r="7" spans="1:17" ht="16.5" customHeight="1">
      <c r="A7" s="331"/>
      <c r="B7" s="331"/>
      <c r="C7" s="334"/>
      <c r="D7" s="332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</row>
    <row r="8" spans="1:17" ht="15.75" customHeight="1">
      <c r="A8" s="331"/>
      <c r="B8" s="331"/>
      <c r="C8" s="335"/>
      <c r="D8" s="332"/>
      <c r="E8" s="75" t="s">
        <v>5</v>
      </c>
      <c r="F8" s="32"/>
      <c r="G8" s="176"/>
      <c r="H8" s="32"/>
      <c r="I8" s="176"/>
      <c r="J8" s="32"/>
      <c r="K8" s="176"/>
      <c r="L8" s="32"/>
      <c r="M8" s="176"/>
      <c r="N8" s="32"/>
      <c r="O8" s="176"/>
      <c r="P8" s="32"/>
      <c r="Q8" s="32"/>
    </row>
    <row r="9" spans="1:17" ht="17.25" customHeight="1">
      <c r="A9" s="98" t="s">
        <v>54</v>
      </c>
      <c r="B9" s="67"/>
      <c r="C9" s="67"/>
      <c r="D9" s="67"/>
      <c r="E9" s="76">
        <f>E10+E11</f>
        <v>16495010</v>
      </c>
      <c r="F9" s="32">
        <f>F11</f>
        <v>16056</v>
      </c>
      <c r="G9" s="177">
        <f>E9+F9</f>
        <v>16511066</v>
      </c>
      <c r="H9" s="32">
        <f>H11</f>
        <v>5000</v>
      </c>
      <c r="I9" s="177">
        <f>G9+H9</f>
        <v>16516066</v>
      </c>
      <c r="J9" s="32">
        <f>J11</f>
        <v>2585</v>
      </c>
      <c r="K9" s="177">
        <f>I9+J9</f>
        <v>16518651</v>
      </c>
      <c r="L9" s="32">
        <f>L11</f>
        <v>5071</v>
      </c>
      <c r="M9" s="177">
        <f>K9+L9</f>
        <v>16523722</v>
      </c>
      <c r="N9" s="32"/>
      <c r="O9" s="177">
        <f>M9+N9</f>
        <v>16523722</v>
      </c>
      <c r="P9" s="32">
        <f>P11</f>
        <v>185800</v>
      </c>
      <c r="Q9" s="168">
        <f>O9+P9</f>
        <v>16709522</v>
      </c>
    </row>
    <row r="10" spans="1:17" ht="26.25">
      <c r="A10" s="99" t="s">
        <v>6</v>
      </c>
      <c r="B10" s="68"/>
      <c r="C10" s="68"/>
      <c r="D10" s="69" t="s">
        <v>7</v>
      </c>
      <c r="E10" s="77">
        <v>550</v>
      </c>
      <c r="F10" s="32"/>
      <c r="G10" s="177">
        <f aca="true" t="shared" si="0" ref="G10:G74">E10+F10</f>
        <v>550</v>
      </c>
      <c r="H10" s="32"/>
      <c r="I10" s="177">
        <f aca="true" t="shared" si="1" ref="I10:I74">G10+H10</f>
        <v>550</v>
      </c>
      <c r="J10" s="32"/>
      <c r="K10" s="177">
        <f aca="true" t="shared" si="2" ref="K10:K73">I10+J10</f>
        <v>550</v>
      </c>
      <c r="L10" s="32"/>
      <c r="M10" s="177">
        <f aca="true" t="shared" si="3" ref="M10:M73">K10+L10</f>
        <v>550</v>
      </c>
      <c r="N10" s="32"/>
      <c r="O10" s="177">
        <f aca="true" t="shared" si="4" ref="O10:O73">M10+N10</f>
        <v>550</v>
      </c>
      <c r="P10" s="32"/>
      <c r="Q10" s="168">
        <f aca="true" t="shared" si="5" ref="Q10:Q73">O10+P10</f>
        <v>550</v>
      </c>
    </row>
    <row r="11" spans="1:17" ht="15.75">
      <c r="A11" s="12" t="s">
        <v>8</v>
      </c>
      <c r="B11" s="70"/>
      <c r="C11" s="70"/>
      <c r="D11" s="71" t="s">
        <v>7</v>
      </c>
      <c r="E11" s="78">
        <f>E12+E16+E28</f>
        <v>16494460</v>
      </c>
      <c r="F11" s="32">
        <f>F16</f>
        <v>16056</v>
      </c>
      <c r="G11" s="177">
        <f t="shared" si="0"/>
        <v>16510516</v>
      </c>
      <c r="H11" s="32">
        <f>H16</f>
        <v>5000</v>
      </c>
      <c r="I11" s="177">
        <f t="shared" si="1"/>
        <v>16515516</v>
      </c>
      <c r="J11" s="32">
        <f>J26</f>
        <v>2585</v>
      </c>
      <c r="K11" s="177">
        <f t="shared" si="2"/>
        <v>16518101</v>
      </c>
      <c r="L11" s="32">
        <f>L26</f>
        <v>5071</v>
      </c>
      <c r="M11" s="177">
        <f t="shared" si="3"/>
        <v>16523172</v>
      </c>
      <c r="N11" s="32"/>
      <c r="O11" s="177">
        <f t="shared" si="4"/>
        <v>16523172</v>
      </c>
      <c r="P11" s="32">
        <f>P12</f>
        <v>185800</v>
      </c>
      <c r="Q11" s="168">
        <f t="shared" si="5"/>
        <v>16708972</v>
      </c>
    </row>
    <row r="12" spans="1:17" ht="40.5" customHeight="1">
      <c r="A12" s="12" t="s">
        <v>82</v>
      </c>
      <c r="B12" s="70"/>
      <c r="C12" s="70"/>
      <c r="D12" s="71" t="s">
        <v>7</v>
      </c>
      <c r="E12" s="78">
        <f>SUM(E13:E15)</f>
        <v>15260600</v>
      </c>
      <c r="F12" s="32"/>
      <c r="G12" s="177">
        <f t="shared" si="0"/>
        <v>15260600</v>
      </c>
      <c r="H12" s="32"/>
      <c r="I12" s="177">
        <f t="shared" si="1"/>
        <v>15260600</v>
      </c>
      <c r="J12" s="32"/>
      <c r="K12" s="177">
        <f t="shared" si="2"/>
        <v>15260600</v>
      </c>
      <c r="L12" s="32"/>
      <c r="M12" s="177">
        <f t="shared" si="3"/>
        <v>15260600</v>
      </c>
      <c r="N12" s="32"/>
      <c r="O12" s="177">
        <f t="shared" si="4"/>
        <v>15260600</v>
      </c>
      <c r="P12" s="32">
        <f>P13+P14</f>
        <v>185800</v>
      </c>
      <c r="Q12" s="168">
        <f t="shared" si="5"/>
        <v>15446400</v>
      </c>
    </row>
    <row r="13" spans="1:17" s="19" customFormat="1" ht="41.25" customHeight="1">
      <c r="A13" s="26" t="s">
        <v>83</v>
      </c>
      <c r="B13" s="72" t="s">
        <v>47</v>
      </c>
      <c r="C13" s="72"/>
      <c r="D13" s="73"/>
      <c r="E13" s="79">
        <f>E51</f>
        <v>11069300</v>
      </c>
      <c r="F13" s="33"/>
      <c r="G13" s="177">
        <f t="shared" si="0"/>
        <v>11069300</v>
      </c>
      <c r="H13" s="33"/>
      <c r="I13" s="177">
        <f t="shared" si="1"/>
        <v>11069300</v>
      </c>
      <c r="J13" s="33"/>
      <c r="K13" s="177">
        <f t="shared" si="2"/>
        <v>11069300</v>
      </c>
      <c r="L13" s="33"/>
      <c r="M13" s="177">
        <f t="shared" si="3"/>
        <v>11069300</v>
      </c>
      <c r="N13" s="33"/>
      <c r="O13" s="177">
        <f t="shared" si="4"/>
        <v>11069300</v>
      </c>
      <c r="P13" s="33">
        <v>95996</v>
      </c>
      <c r="Q13" s="168">
        <f t="shared" si="5"/>
        <v>11165296</v>
      </c>
    </row>
    <row r="14" spans="1:17" s="19" customFormat="1" ht="38.25" customHeight="1">
      <c r="A14" s="26" t="s">
        <v>85</v>
      </c>
      <c r="B14" s="72" t="s">
        <v>96</v>
      </c>
      <c r="C14" s="72"/>
      <c r="D14" s="73"/>
      <c r="E14" s="79">
        <f>E80</f>
        <v>3624500</v>
      </c>
      <c r="F14" s="33"/>
      <c r="G14" s="177">
        <f t="shared" si="0"/>
        <v>3624500</v>
      </c>
      <c r="H14" s="33"/>
      <c r="I14" s="177">
        <f t="shared" si="1"/>
        <v>3624500</v>
      </c>
      <c r="J14" s="33"/>
      <c r="K14" s="177">
        <f t="shared" si="2"/>
        <v>3624500</v>
      </c>
      <c r="L14" s="33"/>
      <c r="M14" s="177">
        <f t="shared" si="3"/>
        <v>3624500</v>
      </c>
      <c r="N14" s="33"/>
      <c r="O14" s="177">
        <f t="shared" si="4"/>
        <v>3624500</v>
      </c>
      <c r="P14" s="33">
        <v>89804</v>
      </c>
      <c r="Q14" s="168">
        <f t="shared" si="5"/>
        <v>3714304</v>
      </c>
    </row>
    <row r="15" spans="1:17" s="19" customFormat="1" ht="26.25">
      <c r="A15" s="26" t="s">
        <v>84</v>
      </c>
      <c r="B15" s="72" t="s">
        <v>53</v>
      </c>
      <c r="C15" s="72"/>
      <c r="D15" s="73"/>
      <c r="E15" s="79">
        <f>E85</f>
        <v>566800</v>
      </c>
      <c r="F15" s="33"/>
      <c r="G15" s="177">
        <f t="shared" si="0"/>
        <v>566800</v>
      </c>
      <c r="H15" s="33"/>
      <c r="I15" s="177">
        <f t="shared" si="1"/>
        <v>566800</v>
      </c>
      <c r="J15" s="33"/>
      <c r="K15" s="177">
        <f t="shared" si="2"/>
        <v>566800</v>
      </c>
      <c r="L15" s="33"/>
      <c r="M15" s="177">
        <f t="shared" si="3"/>
        <v>566800</v>
      </c>
      <c r="N15" s="33"/>
      <c r="O15" s="177">
        <f t="shared" si="4"/>
        <v>566800</v>
      </c>
      <c r="P15" s="33"/>
      <c r="Q15" s="168">
        <f t="shared" si="5"/>
        <v>566800</v>
      </c>
    </row>
    <row r="16" spans="1:17" s="19" customFormat="1" ht="14.25" customHeight="1">
      <c r="A16" s="28" t="s">
        <v>9</v>
      </c>
      <c r="B16" s="72"/>
      <c r="C16" s="72"/>
      <c r="D16" s="73"/>
      <c r="E16" s="80">
        <f>SUM(E17:E23)</f>
        <v>0</v>
      </c>
      <c r="F16" s="33">
        <f>F26</f>
        <v>16056</v>
      </c>
      <c r="G16" s="177">
        <f t="shared" si="0"/>
        <v>16056</v>
      </c>
      <c r="H16" s="33">
        <f>H17</f>
        <v>5000</v>
      </c>
      <c r="I16" s="177">
        <f t="shared" si="1"/>
        <v>21056</v>
      </c>
      <c r="J16" s="33"/>
      <c r="K16" s="177">
        <f t="shared" si="2"/>
        <v>21056</v>
      </c>
      <c r="L16" s="33"/>
      <c r="M16" s="177">
        <f t="shared" si="3"/>
        <v>21056</v>
      </c>
      <c r="N16" s="33"/>
      <c r="O16" s="177">
        <f t="shared" si="4"/>
        <v>21056</v>
      </c>
      <c r="P16" s="33"/>
      <c r="Q16" s="168">
        <f t="shared" si="5"/>
        <v>21056</v>
      </c>
    </row>
    <row r="17" spans="1:17" s="19" customFormat="1" ht="24" customHeight="1">
      <c r="A17" s="24" t="s">
        <v>109</v>
      </c>
      <c r="B17" s="72" t="s">
        <v>108</v>
      </c>
      <c r="C17" s="72"/>
      <c r="D17" s="73"/>
      <c r="E17" s="81"/>
      <c r="F17" s="33"/>
      <c r="G17" s="177">
        <f t="shared" si="0"/>
        <v>0</v>
      </c>
      <c r="H17" s="33">
        <v>5000</v>
      </c>
      <c r="I17" s="177">
        <f t="shared" si="1"/>
        <v>5000</v>
      </c>
      <c r="J17" s="33"/>
      <c r="K17" s="177">
        <f t="shared" si="2"/>
        <v>5000</v>
      </c>
      <c r="L17" s="33"/>
      <c r="M17" s="177">
        <f t="shared" si="3"/>
        <v>5000</v>
      </c>
      <c r="N17" s="33"/>
      <c r="O17" s="177">
        <f t="shared" si="4"/>
        <v>5000</v>
      </c>
      <c r="P17" s="33"/>
      <c r="Q17" s="168">
        <f t="shared" si="5"/>
        <v>5000</v>
      </c>
    </row>
    <row r="18" spans="1:17" s="19" customFormat="1" ht="30.75" customHeight="1" hidden="1">
      <c r="A18" s="26" t="s">
        <v>100</v>
      </c>
      <c r="B18" s="72" t="s">
        <v>99</v>
      </c>
      <c r="C18" s="72"/>
      <c r="D18" s="73">
        <v>100</v>
      </c>
      <c r="E18" s="81"/>
      <c r="F18" s="33"/>
      <c r="G18" s="177">
        <f t="shared" si="0"/>
        <v>0</v>
      </c>
      <c r="H18" s="33"/>
      <c r="I18" s="177">
        <f t="shared" si="1"/>
        <v>0</v>
      </c>
      <c r="J18" s="33"/>
      <c r="K18" s="177">
        <f t="shared" si="2"/>
        <v>0</v>
      </c>
      <c r="L18" s="33"/>
      <c r="M18" s="177">
        <f t="shared" si="3"/>
        <v>0</v>
      </c>
      <c r="N18" s="33"/>
      <c r="O18" s="177">
        <f t="shared" si="4"/>
        <v>0</v>
      </c>
      <c r="P18" s="33"/>
      <c r="Q18" s="168">
        <f t="shared" si="5"/>
        <v>0</v>
      </c>
    </row>
    <row r="19" spans="1:17" s="19" customFormat="1" ht="28.5" customHeight="1" hidden="1">
      <c r="A19" s="26" t="s">
        <v>55</v>
      </c>
      <c r="B19" s="72" t="s">
        <v>56</v>
      </c>
      <c r="C19" s="72"/>
      <c r="D19" s="73">
        <v>100</v>
      </c>
      <c r="E19" s="81"/>
      <c r="F19" s="33"/>
      <c r="G19" s="177">
        <f t="shared" si="0"/>
        <v>0</v>
      </c>
      <c r="H19" s="33"/>
      <c r="I19" s="177">
        <f t="shared" si="1"/>
        <v>0</v>
      </c>
      <c r="J19" s="33"/>
      <c r="K19" s="177">
        <f t="shared" si="2"/>
        <v>0</v>
      </c>
      <c r="L19" s="33"/>
      <c r="M19" s="177">
        <f t="shared" si="3"/>
        <v>0</v>
      </c>
      <c r="N19" s="33"/>
      <c r="O19" s="177">
        <f t="shared" si="4"/>
        <v>0</v>
      </c>
      <c r="P19" s="33"/>
      <c r="Q19" s="168">
        <f t="shared" si="5"/>
        <v>0</v>
      </c>
    </row>
    <row r="20" spans="1:17" s="19" customFormat="1" ht="28.5" customHeight="1" hidden="1">
      <c r="A20" s="26" t="s">
        <v>57</v>
      </c>
      <c r="B20" s="72" t="s">
        <v>58</v>
      </c>
      <c r="C20" s="72"/>
      <c r="D20" s="73">
        <v>100</v>
      </c>
      <c r="E20" s="81"/>
      <c r="F20" s="33"/>
      <c r="G20" s="177">
        <f t="shared" si="0"/>
        <v>0</v>
      </c>
      <c r="H20" s="33"/>
      <c r="I20" s="177">
        <f t="shared" si="1"/>
        <v>0</v>
      </c>
      <c r="J20" s="33"/>
      <c r="K20" s="177">
        <f t="shared" si="2"/>
        <v>0</v>
      </c>
      <c r="L20" s="33"/>
      <c r="M20" s="177">
        <f t="shared" si="3"/>
        <v>0</v>
      </c>
      <c r="N20" s="33"/>
      <c r="O20" s="177">
        <f t="shared" si="4"/>
        <v>0</v>
      </c>
      <c r="P20" s="33"/>
      <c r="Q20" s="168">
        <f t="shared" si="5"/>
        <v>0</v>
      </c>
    </row>
    <row r="21" spans="1:17" s="19" customFormat="1" ht="43.5" customHeight="1" hidden="1">
      <c r="A21" s="26" t="s">
        <v>59</v>
      </c>
      <c r="B21" s="72" t="s">
        <v>60</v>
      </c>
      <c r="C21" s="72"/>
      <c r="D21" s="73"/>
      <c r="E21" s="81"/>
      <c r="F21" s="33"/>
      <c r="G21" s="177">
        <f t="shared" si="0"/>
        <v>0</v>
      </c>
      <c r="H21" s="33"/>
      <c r="I21" s="177">
        <f t="shared" si="1"/>
        <v>0</v>
      </c>
      <c r="J21" s="33"/>
      <c r="K21" s="177">
        <f t="shared" si="2"/>
        <v>0</v>
      </c>
      <c r="L21" s="33"/>
      <c r="M21" s="177">
        <f t="shared" si="3"/>
        <v>0</v>
      </c>
      <c r="N21" s="33"/>
      <c r="O21" s="177">
        <f t="shared" si="4"/>
        <v>0</v>
      </c>
      <c r="P21" s="33"/>
      <c r="Q21" s="168">
        <f t="shared" si="5"/>
        <v>0</v>
      </c>
    </row>
    <row r="22" spans="1:17" s="19" customFormat="1" ht="34.5" customHeight="1" hidden="1">
      <c r="A22" s="26" t="s">
        <v>81</v>
      </c>
      <c r="B22" s="72" t="s">
        <v>58</v>
      </c>
      <c r="C22" s="72"/>
      <c r="D22" s="73"/>
      <c r="E22" s="81"/>
      <c r="F22" s="33"/>
      <c r="G22" s="177">
        <f t="shared" si="0"/>
        <v>0</v>
      </c>
      <c r="H22" s="33"/>
      <c r="I22" s="177">
        <f t="shared" si="1"/>
        <v>0</v>
      </c>
      <c r="J22" s="33"/>
      <c r="K22" s="177">
        <f t="shared" si="2"/>
        <v>0</v>
      </c>
      <c r="L22" s="33"/>
      <c r="M22" s="177">
        <f t="shared" si="3"/>
        <v>0</v>
      </c>
      <c r="N22" s="33"/>
      <c r="O22" s="177">
        <f t="shared" si="4"/>
        <v>0</v>
      </c>
      <c r="P22" s="33"/>
      <c r="Q22" s="168">
        <f t="shared" si="5"/>
        <v>0</v>
      </c>
    </row>
    <row r="23" spans="1:17" s="19" customFormat="1" ht="29.25" customHeight="1" hidden="1">
      <c r="A23" s="26" t="s">
        <v>61</v>
      </c>
      <c r="B23" s="72" t="s">
        <v>62</v>
      </c>
      <c r="C23" s="72"/>
      <c r="D23" s="73"/>
      <c r="E23" s="79"/>
      <c r="F23" s="33"/>
      <c r="G23" s="177">
        <f t="shared" si="0"/>
        <v>0</v>
      </c>
      <c r="H23" s="33"/>
      <c r="I23" s="177">
        <f t="shared" si="1"/>
        <v>0</v>
      </c>
      <c r="J23" s="33"/>
      <c r="K23" s="177">
        <f t="shared" si="2"/>
        <v>0</v>
      </c>
      <c r="L23" s="33"/>
      <c r="M23" s="177">
        <f t="shared" si="3"/>
        <v>0</v>
      </c>
      <c r="N23" s="33"/>
      <c r="O23" s="177">
        <f t="shared" si="4"/>
        <v>0</v>
      </c>
      <c r="P23" s="33"/>
      <c r="Q23" s="168">
        <f t="shared" si="5"/>
        <v>0</v>
      </c>
    </row>
    <row r="24" spans="1:17" s="19" customFormat="1" ht="27.75" customHeight="1" hidden="1">
      <c r="A24" s="26" t="s">
        <v>63</v>
      </c>
      <c r="B24" s="72" t="s">
        <v>64</v>
      </c>
      <c r="C24" s="72"/>
      <c r="D24" s="73"/>
      <c r="E24" s="79"/>
      <c r="F24" s="33"/>
      <c r="G24" s="177">
        <f t="shared" si="0"/>
        <v>0</v>
      </c>
      <c r="H24" s="33"/>
      <c r="I24" s="177">
        <f t="shared" si="1"/>
        <v>0</v>
      </c>
      <c r="J24" s="33"/>
      <c r="K24" s="177">
        <f t="shared" si="2"/>
        <v>0</v>
      </c>
      <c r="L24" s="33"/>
      <c r="M24" s="177">
        <f t="shared" si="3"/>
        <v>0</v>
      </c>
      <c r="N24" s="33"/>
      <c r="O24" s="177">
        <f t="shared" si="4"/>
        <v>0</v>
      </c>
      <c r="P24" s="33"/>
      <c r="Q24" s="168">
        <f t="shared" si="5"/>
        <v>0</v>
      </c>
    </row>
    <row r="25" spans="1:17" s="19" customFormat="1" ht="24.75" customHeight="1" hidden="1">
      <c r="A25" s="26" t="s">
        <v>77</v>
      </c>
      <c r="B25" s="72" t="s">
        <v>78</v>
      </c>
      <c r="C25" s="72"/>
      <c r="D25" s="73"/>
      <c r="E25" s="79"/>
      <c r="F25" s="33"/>
      <c r="G25" s="177">
        <f t="shared" si="0"/>
        <v>0</v>
      </c>
      <c r="H25" s="33"/>
      <c r="I25" s="177">
        <f t="shared" si="1"/>
        <v>0</v>
      </c>
      <c r="J25" s="33"/>
      <c r="K25" s="177">
        <f t="shared" si="2"/>
        <v>0</v>
      </c>
      <c r="L25" s="33"/>
      <c r="M25" s="177">
        <f t="shared" si="3"/>
        <v>0</v>
      </c>
      <c r="N25" s="33"/>
      <c r="O25" s="177">
        <f t="shared" si="4"/>
        <v>0</v>
      </c>
      <c r="P25" s="33"/>
      <c r="Q25" s="168">
        <f t="shared" si="5"/>
        <v>0</v>
      </c>
    </row>
    <row r="26" spans="1:17" s="19" customFormat="1" ht="24.75" customHeight="1">
      <c r="A26" s="24" t="s">
        <v>102</v>
      </c>
      <c r="B26" s="72" t="s">
        <v>78</v>
      </c>
      <c r="C26" s="72"/>
      <c r="D26" s="73"/>
      <c r="E26" s="79"/>
      <c r="F26" s="33">
        <v>16056</v>
      </c>
      <c r="G26" s="177">
        <f t="shared" si="0"/>
        <v>16056</v>
      </c>
      <c r="H26" s="33"/>
      <c r="I26" s="177">
        <f t="shared" si="1"/>
        <v>16056</v>
      </c>
      <c r="J26" s="33">
        <v>2585</v>
      </c>
      <c r="K26" s="177">
        <f t="shared" si="2"/>
        <v>18641</v>
      </c>
      <c r="L26" s="33">
        <v>5071</v>
      </c>
      <c r="M26" s="177">
        <f t="shared" si="3"/>
        <v>23712</v>
      </c>
      <c r="N26" s="33"/>
      <c r="O26" s="177">
        <f t="shared" si="4"/>
        <v>23712</v>
      </c>
      <c r="P26" s="33"/>
      <c r="Q26" s="168">
        <f t="shared" si="5"/>
        <v>23712</v>
      </c>
    </row>
    <row r="27" spans="1:17" s="19" customFormat="1" ht="82.5" customHeight="1">
      <c r="A27" s="26" t="s">
        <v>112</v>
      </c>
      <c r="B27" s="72" t="s">
        <v>97</v>
      </c>
      <c r="C27" s="72"/>
      <c r="D27" s="73">
        <v>4011</v>
      </c>
      <c r="E27" s="79"/>
      <c r="F27" s="33"/>
      <c r="G27" s="177">
        <f t="shared" si="0"/>
        <v>0</v>
      </c>
      <c r="H27" s="33"/>
      <c r="I27" s="177">
        <f t="shared" si="1"/>
        <v>0</v>
      </c>
      <c r="J27" s="33"/>
      <c r="K27" s="177">
        <f t="shared" si="2"/>
        <v>0</v>
      </c>
      <c r="L27" s="33"/>
      <c r="M27" s="177">
        <f t="shared" si="3"/>
        <v>0</v>
      </c>
      <c r="N27" s="33"/>
      <c r="O27" s="177">
        <f t="shared" si="4"/>
        <v>0</v>
      </c>
      <c r="P27" s="33"/>
      <c r="Q27" s="168">
        <f t="shared" si="5"/>
        <v>0</v>
      </c>
    </row>
    <row r="28" spans="1:17" s="19" customFormat="1" ht="39" customHeight="1">
      <c r="A28" s="28" t="s">
        <v>10</v>
      </c>
      <c r="B28" s="72"/>
      <c r="C28" s="72"/>
      <c r="D28" s="73" t="s">
        <v>7</v>
      </c>
      <c r="E28" s="80">
        <f>SUM(E29:E31)</f>
        <v>1233860</v>
      </c>
      <c r="F28" s="33"/>
      <c r="G28" s="177">
        <f t="shared" si="0"/>
        <v>1233860</v>
      </c>
      <c r="H28" s="33"/>
      <c r="I28" s="177">
        <f t="shared" si="1"/>
        <v>1233860</v>
      </c>
      <c r="J28" s="33"/>
      <c r="K28" s="177">
        <f t="shared" si="2"/>
        <v>1233860</v>
      </c>
      <c r="L28" s="33"/>
      <c r="M28" s="177">
        <f t="shared" si="3"/>
        <v>1233860</v>
      </c>
      <c r="N28" s="33"/>
      <c r="O28" s="177">
        <f t="shared" si="4"/>
        <v>1233860</v>
      </c>
      <c r="P28" s="33"/>
      <c r="Q28" s="168">
        <f t="shared" si="5"/>
        <v>1233860</v>
      </c>
    </row>
    <row r="29" spans="1:17" s="19" customFormat="1" ht="27" customHeight="1">
      <c r="A29" s="26" t="s">
        <v>50</v>
      </c>
      <c r="B29" s="72"/>
      <c r="C29" s="72"/>
      <c r="D29" s="73"/>
      <c r="E29" s="79">
        <v>1138500</v>
      </c>
      <c r="F29" s="33"/>
      <c r="G29" s="177">
        <f t="shared" si="0"/>
        <v>1138500</v>
      </c>
      <c r="H29" s="33"/>
      <c r="I29" s="177">
        <f t="shared" si="1"/>
        <v>1138500</v>
      </c>
      <c r="J29" s="33"/>
      <c r="K29" s="177">
        <f t="shared" si="2"/>
        <v>1138500</v>
      </c>
      <c r="L29" s="33"/>
      <c r="M29" s="177">
        <f t="shared" si="3"/>
        <v>1138500</v>
      </c>
      <c r="N29" s="33"/>
      <c r="O29" s="177">
        <f t="shared" si="4"/>
        <v>1138500</v>
      </c>
      <c r="P29" s="33"/>
      <c r="Q29" s="168">
        <f t="shared" si="5"/>
        <v>1138500</v>
      </c>
    </row>
    <row r="30" spans="1:17" s="19" customFormat="1" ht="26.25">
      <c r="A30" s="26" t="s">
        <v>51</v>
      </c>
      <c r="B30" s="72"/>
      <c r="C30" s="72"/>
      <c r="D30" s="73"/>
      <c r="E30" s="81">
        <v>45360</v>
      </c>
      <c r="F30" s="33"/>
      <c r="G30" s="177">
        <f t="shared" si="0"/>
        <v>45360</v>
      </c>
      <c r="H30" s="33"/>
      <c r="I30" s="177">
        <f t="shared" si="1"/>
        <v>45360</v>
      </c>
      <c r="J30" s="33"/>
      <c r="K30" s="177">
        <f t="shared" si="2"/>
        <v>45360</v>
      </c>
      <c r="L30" s="33"/>
      <c r="M30" s="177">
        <f t="shared" si="3"/>
        <v>45360</v>
      </c>
      <c r="N30" s="33"/>
      <c r="O30" s="177">
        <f t="shared" si="4"/>
        <v>45360</v>
      </c>
      <c r="P30" s="33"/>
      <c r="Q30" s="168">
        <f t="shared" si="5"/>
        <v>45360</v>
      </c>
    </row>
    <row r="31" spans="1:17" s="19" customFormat="1" ht="27.75" customHeight="1">
      <c r="A31" s="26" t="s">
        <v>11</v>
      </c>
      <c r="B31" s="72"/>
      <c r="C31" s="72"/>
      <c r="D31" s="73" t="s">
        <v>7</v>
      </c>
      <c r="E31" s="82">
        <v>50000</v>
      </c>
      <c r="F31" s="33"/>
      <c r="G31" s="177">
        <f t="shared" si="0"/>
        <v>50000</v>
      </c>
      <c r="H31" s="33"/>
      <c r="I31" s="177">
        <f t="shared" si="1"/>
        <v>50000</v>
      </c>
      <c r="J31" s="33"/>
      <c r="K31" s="177">
        <f t="shared" si="2"/>
        <v>50000</v>
      </c>
      <c r="L31" s="33"/>
      <c r="M31" s="177">
        <f t="shared" si="3"/>
        <v>50000</v>
      </c>
      <c r="N31" s="33"/>
      <c r="O31" s="177">
        <f t="shared" si="4"/>
        <v>50000</v>
      </c>
      <c r="P31" s="33"/>
      <c r="Q31" s="168">
        <f t="shared" si="5"/>
        <v>50000</v>
      </c>
    </row>
    <row r="32" spans="1:17" s="19" customFormat="1" ht="23.25" customHeight="1" hidden="1">
      <c r="A32" s="26" t="s">
        <v>12</v>
      </c>
      <c r="B32" s="72"/>
      <c r="C32" s="72"/>
      <c r="D32" s="73"/>
      <c r="E32" s="83"/>
      <c r="F32" s="33"/>
      <c r="G32" s="177">
        <f t="shared" si="0"/>
        <v>0</v>
      </c>
      <c r="H32" s="33"/>
      <c r="I32" s="177">
        <f t="shared" si="1"/>
        <v>0</v>
      </c>
      <c r="J32" s="33"/>
      <c r="K32" s="177">
        <f t="shared" si="2"/>
        <v>0</v>
      </c>
      <c r="L32" s="33"/>
      <c r="M32" s="177">
        <f t="shared" si="3"/>
        <v>0</v>
      </c>
      <c r="N32" s="33"/>
      <c r="O32" s="177">
        <f t="shared" si="4"/>
        <v>0</v>
      </c>
      <c r="P32" s="33"/>
      <c r="Q32" s="168">
        <f t="shared" si="5"/>
        <v>0</v>
      </c>
    </row>
    <row r="33" spans="1:17" s="19" customFormat="1" ht="21.75" customHeight="1">
      <c r="A33" s="28" t="s">
        <v>13</v>
      </c>
      <c r="B33" s="72"/>
      <c r="C33" s="72"/>
      <c r="D33" s="73"/>
      <c r="E33" s="80">
        <f>E34+E108+E179</f>
        <v>16495010</v>
      </c>
      <c r="F33" s="33">
        <f>F108</f>
        <v>16056</v>
      </c>
      <c r="G33" s="177">
        <f t="shared" si="0"/>
        <v>16511066</v>
      </c>
      <c r="H33" s="33">
        <f>H108</f>
        <v>5000</v>
      </c>
      <c r="I33" s="177">
        <f t="shared" si="1"/>
        <v>16516066</v>
      </c>
      <c r="J33" s="33">
        <f>J108</f>
        <v>2585</v>
      </c>
      <c r="K33" s="177">
        <f t="shared" si="2"/>
        <v>16518651</v>
      </c>
      <c r="L33" s="33">
        <f>L108</f>
        <v>5071</v>
      </c>
      <c r="M33" s="177">
        <f t="shared" si="3"/>
        <v>16523722</v>
      </c>
      <c r="N33" s="33">
        <f>N34</f>
        <v>0</v>
      </c>
      <c r="O33" s="177">
        <f t="shared" si="4"/>
        <v>16523722</v>
      </c>
      <c r="P33" s="33">
        <f>P34</f>
        <v>185800</v>
      </c>
      <c r="Q33" s="168">
        <f t="shared" si="5"/>
        <v>16709522</v>
      </c>
    </row>
    <row r="34" spans="1:17" s="19" customFormat="1" ht="17.25" customHeight="1">
      <c r="A34" s="28" t="s">
        <v>14</v>
      </c>
      <c r="B34" s="72"/>
      <c r="C34" s="72"/>
      <c r="D34" s="73"/>
      <c r="E34" s="80">
        <f>E35+E36+E37+E38+E39+E40+E42+E43+E48+E49</f>
        <v>15260600</v>
      </c>
      <c r="F34" s="33"/>
      <c r="G34" s="177">
        <f t="shared" si="0"/>
        <v>15260600</v>
      </c>
      <c r="H34" s="33"/>
      <c r="I34" s="177">
        <f t="shared" si="1"/>
        <v>15260600</v>
      </c>
      <c r="J34" s="33"/>
      <c r="K34" s="177">
        <f t="shared" si="2"/>
        <v>15260600</v>
      </c>
      <c r="L34" s="33"/>
      <c r="M34" s="177">
        <f t="shared" si="3"/>
        <v>15260600</v>
      </c>
      <c r="N34" s="33">
        <f>N38+N43</f>
        <v>0</v>
      </c>
      <c r="O34" s="177">
        <f t="shared" si="4"/>
        <v>15260600</v>
      </c>
      <c r="P34" s="33">
        <f>P35+P37</f>
        <v>185800</v>
      </c>
      <c r="Q34" s="168">
        <f t="shared" si="5"/>
        <v>15446400</v>
      </c>
    </row>
    <row r="35" spans="1:17" s="19" customFormat="1" ht="14.25" customHeight="1">
      <c r="A35" s="26" t="s">
        <v>15</v>
      </c>
      <c r="B35" s="72"/>
      <c r="C35" s="72"/>
      <c r="D35" s="73">
        <v>211</v>
      </c>
      <c r="E35" s="79">
        <f>E52+E81</f>
        <v>11063100</v>
      </c>
      <c r="F35" s="33"/>
      <c r="G35" s="177">
        <f t="shared" si="0"/>
        <v>11063100</v>
      </c>
      <c r="H35" s="33"/>
      <c r="I35" s="177">
        <f t="shared" si="1"/>
        <v>11063100</v>
      </c>
      <c r="J35" s="33"/>
      <c r="K35" s="177">
        <f t="shared" si="2"/>
        <v>11063100</v>
      </c>
      <c r="L35" s="33"/>
      <c r="M35" s="177">
        <f t="shared" si="3"/>
        <v>11063100</v>
      </c>
      <c r="N35" s="33"/>
      <c r="O35" s="177">
        <f t="shared" si="4"/>
        <v>11063100</v>
      </c>
      <c r="P35" s="33">
        <f>P52+P81</f>
        <v>139200</v>
      </c>
      <c r="Q35" s="168">
        <f t="shared" si="5"/>
        <v>11202300</v>
      </c>
    </row>
    <row r="36" spans="1:17" s="19" customFormat="1" ht="14.25" customHeight="1">
      <c r="A36" s="26" t="s">
        <v>16</v>
      </c>
      <c r="B36" s="72"/>
      <c r="C36" s="72"/>
      <c r="D36" s="73">
        <v>212</v>
      </c>
      <c r="E36" s="79">
        <f>E53+E82</f>
        <v>10000</v>
      </c>
      <c r="F36" s="33"/>
      <c r="G36" s="177">
        <f t="shared" si="0"/>
        <v>10000</v>
      </c>
      <c r="H36" s="33"/>
      <c r="I36" s="177">
        <f t="shared" si="1"/>
        <v>10000</v>
      </c>
      <c r="J36" s="33"/>
      <c r="K36" s="177">
        <f t="shared" si="2"/>
        <v>10000</v>
      </c>
      <c r="L36" s="33"/>
      <c r="M36" s="177">
        <f t="shared" si="3"/>
        <v>10000</v>
      </c>
      <c r="N36" s="33"/>
      <c r="O36" s="177">
        <f t="shared" si="4"/>
        <v>10000</v>
      </c>
      <c r="P36" s="33"/>
      <c r="Q36" s="168">
        <f t="shared" si="5"/>
        <v>10000</v>
      </c>
    </row>
    <row r="37" spans="1:17" s="19" customFormat="1" ht="14.25" customHeight="1">
      <c r="A37" s="26" t="s">
        <v>17</v>
      </c>
      <c r="B37" s="72"/>
      <c r="C37" s="72"/>
      <c r="D37" s="73">
        <v>213</v>
      </c>
      <c r="E37" s="79">
        <f>E54+E83</f>
        <v>3341000</v>
      </c>
      <c r="F37" s="33"/>
      <c r="G37" s="177">
        <f t="shared" si="0"/>
        <v>3341000</v>
      </c>
      <c r="H37" s="33"/>
      <c r="I37" s="177">
        <f t="shared" si="1"/>
        <v>3341000</v>
      </c>
      <c r="J37" s="33"/>
      <c r="K37" s="177">
        <f t="shared" si="2"/>
        <v>3341000</v>
      </c>
      <c r="L37" s="33"/>
      <c r="M37" s="177">
        <f t="shared" si="3"/>
        <v>3341000</v>
      </c>
      <c r="N37" s="33"/>
      <c r="O37" s="177">
        <f t="shared" si="4"/>
        <v>3341000</v>
      </c>
      <c r="P37" s="33">
        <f>P54+P83</f>
        <v>46600</v>
      </c>
      <c r="Q37" s="168">
        <f t="shared" si="5"/>
        <v>3387600</v>
      </c>
    </row>
    <row r="38" spans="1:17" s="19" customFormat="1" ht="14.25" customHeight="1">
      <c r="A38" s="26" t="s">
        <v>18</v>
      </c>
      <c r="B38" s="72"/>
      <c r="C38" s="72"/>
      <c r="D38" s="73">
        <v>221</v>
      </c>
      <c r="E38" s="79">
        <f>E56+E86</f>
        <v>28300</v>
      </c>
      <c r="F38" s="33"/>
      <c r="G38" s="177">
        <f t="shared" si="0"/>
        <v>28300</v>
      </c>
      <c r="H38" s="33"/>
      <c r="I38" s="177">
        <f t="shared" si="1"/>
        <v>28300</v>
      </c>
      <c r="J38" s="33"/>
      <c r="K38" s="177">
        <f t="shared" si="2"/>
        <v>28300</v>
      </c>
      <c r="L38" s="33"/>
      <c r="M38" s="177">
        <f t="shared" si="3"/>
        <v>28300</v>
      </c>
      <c r="N38" s="33">
        <f>N56</f>
        <v>18000</v>
      </c>
      <c r="O38" s="177">
        <f t="shared" si="4"/>
        <v>46300</v>
      </c>
      <c r="P38" s="33"/>
      <c r="Q38" s="168">
        <f t="shared" si="5"/>
        <v>46300</v>
      </c>
    </row>
    <row r="39" spans="1:17" s="19" customFormat="1" ht="14.25" customHeight="1">
      <c r="A39" s="26" t="s">
        <v>19</v>
      </c>
      <c r="B39" s="72"/>
      <c r="C39" s="72"/>
      <c r="D39" s="73">
        <v>222</v>
      </c>
      <c r="E39" s="79">
        <f>E57+E87+E58</f>
        <v>25000</v>
      </c>
      <c r="F39" s="33"/>
      <c r="G39" s="177">
        <f t="shared" si="0"/>
        <v>25000</v>
      </c>
      <c r="H39" s="33"/>
      <c r="I39" s="177">
        <f t="shared" si="1"/>
        <v>25000</v>
      </c>
      <c r="J39" s="33"/>
      <c r="K39" s="177">
        <f t="shared" si="2"/>
        <v>25000</v>
      </c>
      <c r="L39" s="33"/>
      <c r="M39" s="177">
        <f t="shared" si="3"/>
        <v>25000</v>
      </c>
      <c r="N39" s="33"/>
      <c r="O39" s="177">
        <f t="shared" si="4"/>
        <v>25000</v>
      </c>
      <c r="P39" s="33"/>
      <c r="Q39" s="168">
        <f t="shared" si="5"/>
        <v>25000</v>
      </c>
    </row>
    <row r="40" spans="1:17" s="19" customFormat="1" ht="14.25" customHeight="1">
      <c r="A40" s="26" t="s">
        <v>20</v>
      </c>
      <c r="B40" s="72"/>
      <c r="C40" s="72"/>
      <c r="D40" s="73">
        <v>223</v>
      </c>
      <c r="E40" s="79">
        <f>E59+E88</f>
        <v>325600</v>
      </c>
      <c r="F40" s="33"/>
      <c r="G40" s="177">
        <f t="shared" si="0"/>
        <v>325600</v>
      </c>
      <c r="H40" s="33"/>
      <c r="I40" s="177">
        <f t="shared" si="1"/>
        <v>325600</v>
      </c>
      <c r="J40" s="33"/>
      <c r="K40" s="177">
        <f t="shared" si="2"/>
        <v>325600</v>
      </c>
      <c r="L40" s="33"/>
      <c r="M40" s="177">
        <f t="shared" si="3"/>
        <v>325600</v>
      </c>
      <c r="N40" s="33"/>
      <c r="O40" s="177">
        <f t="shared" si="4"/>
        <v>325600</v>
      </c>
      <c r="P40" s="33"/>
      <c r="Q40" s="168">
        <f t="shared" si="5"/>
        <v>325600</v>
      </c>
    </row>
    <row r="41" spans="1:17" s="19" customFormat="1" ht="23.25" customHeight="1" hidden="1">
      <c r="A41" s="26" t="s">
        <v>21</v>
      </c>
      <c r="B41" s="72"/>
      <c r="C41" s="72"/>
      <c r="D41" s="73">
        <v>224</v>
      </c>
      <c r="E41" s="79">
        <f>E60+E91</f>
        <v>0</v>
      </c>
      <c r="F41" s="33"/>
      <c r="G41" s="177">
        <f t="shared" si="0"/>
        <v>0</v>
      </c>
      <c r="H41" s="33"/>
      <c r="I41" s="177">
        <f t="shared" si="1"/>
        <v>0</v>
      </c>
      <c r="J41" s="33"/>
      <c r="K41" s="177">
        <f t="shared" si="2"/>
        <v>0</v>
      </c>
      <c r="L41" s="33"/>
      <c r="M41" s="177">
        <f t="shared" si="3"/>
        <v>0</v>
      </c>
      <c r="N41" s="33"/>
      <c r="O41" s="177">
        <f t="shared" si="4"/>
        <v>0</v>
      </c>
      <c r="P41" s="33"/>
      <c r="Q41" s="168">
        <f t="shared" si="5"/>
        <v>0</v>
      </c>
    </row>
    <row r="42" spans="1:17" s="19" customFormat="1" ht="25.5" customHeight="1">
      <c r="A42" s="26" t="s">
        <v>22</v>
      </c>
      <c r="B42" s="72"/>
      <c r="C42" s="72"/>
      <c r="D42" s="73">
        <v>225</v>
      </c>
      <c r="E42" s="79">
        <f>E61+E92</f>
        <v>83400</v>
      </c>
      <c r="F42" s="33"/>
      <c r="G42" s="177">
        <f t="shared" si="0"/>
        <v>83400</v>
      </c>
      <c r="H42" s="33"/>
      <c r="I42" s="177">
        <f t="shared" si="1"/>
        <v>83400</v>
      </c>
      <c r="J42" s="33"/>
      <c r="K42" s="177">
        <f t="shared" si="2"/>
        <v>83400</v>
      </c>
      <c r="L42" s="33"/>
      <c r="M42" s="177">
        <f t="shared" si="3"/>
        <v>83400</v>
      </c>
      <c r="N42" s="33"/>
      <c r="O42" s="177">
        <f t="shared" si="4"/>
        <v>83400</v>
      </c>
      <c r="P42" s="33"/>
      <c r="Q42" s="168">
        <f t="shared" si="5"/>
        <v>83400</v>
      </c>
    </row>
    <row r="43" spans="1:17" s="19" customFormat="1" ht="20.25" customHeight="1">
      <c r="A43" s="26" t="s">
        <v>23</v>
      </c>
      <c r="B43" s="72"/>
      <c r="C43" s="72"/>
      <c r="D43" s="73">
        <v>226</v>
      </c>
      <c r="E43" s="79">
        <f>E62+E93+E100</f>
        <v>332200</v>
      </c>
      <c r="F43" s="33"/>
      <c r="G43" s="177">
        <f t="shared" si="0"/>
        <v>332200</v>
      </c>
      <c r="H43" s="33"/>
      <c r="I43" s="177">
        <f t="shared" si="1"/>
        <v>332200</v>
      </c>
      <c r="J43" s="33"/>
      <c r="K43" s="177">
        <f t="shared" si="2"/>
        <v>332200</v>
      </c>
      <c r="L43" s="33"/>
      <c r="M43" s="177">
        <f t="shared" si="3"/>
        <v>332200</v>
      </c>
      <c r="N43" s="33">
        <f>N62</f>
        <v>-18000</v>
      </c>
      <c r="O43" s="177">
        <f t="shared" si="4"/>
        <v>314200</v>
      </c>
      <c r="P43" s="33"/>
      <c r="Q43" s="168">
        <f t="shared" si="5"/>
        <v>314200</v>
      </c>
    </row>
    <row r="44" spans="1:17" s="19" customFormat="1" ht="14.25" customHeight="1" hidden="1">
      <c r="A44" s="26" t="s">
        <v>24</v>
      </c>
      <c r="B44" s="72"/>
      <c r="C44" s="72"/>
      <c r="D44" s="73">
        <v>240</v>
      </c>
      <c r="E44" s="79">
        <v>0</v>
      </c>
      <c r="F44" s="33"/>
      <c r="G44" s="177">
        <f t="shared" si="0"/>
        <v>0</v>
      </c>
      <c r="H44" s="33"/>
      <c r="I44" s="177">
        <f t="shared" si="1"/>
        <v>0</v>
      </c>
      <c r="J44" s="33"/>
      <c r="K44" s="177">
        <f t="shared" si="2"/>
        <v>0</v>
      </c>
      <c r="L44" s="33"/>
      <c r="M44" s="177">
        <f t="shared" si="3"/>
        <v>0</v>
      </c>
      <c r="N44" s="33"/>
      <c r="O44" s="177">
        <f t="shared" si="4"/>
        <v>0</v>
      </c>
      <c r="P44" s="33"/>
      <c r="Q44" s="168">
        <f t="shared" si="5"/>
        <v>0</v>
      </c>
    </row>
    <row r="45" spans="1:17" s="19" customFormat="1" ht="14.25" customHeight="1" hidden="1">
      <c r="A45" s="26" t="s">
        <v>25</v>
      </c>
      <c r="B45" s="72"/>
      <c r="C45" s="72"/>
      <c r="D45" s="73">
        <v>260</v>
      </c>
      <c r="E45" s="79">
        <v>0</v>
      </c>
      <c r="F45" s="33"/>
      <c r="G45" s="177">
        <f t="shared" si="0"/>
        <v>0</v>
      </c>
      <c r="H45" s="33"/>
      <c r="I45" s="177">
        <f t="shared" si="1"/>
        <v>0</v>
      </c>
      <c r="J45" s="33"/>
      <c r="K45" s="177">
        <f t="shared" si="2"/>
        <v>0</v>
      </c>
      <c r="L45" s="33"/>
      <c r="M45" s="177">
        <f t="shared" si="3"/>
        <v>0</v>
      </c>
      <c r="N45" s="33"/>
      <c r="O45" s="177">
        <f t="shared" si="4"/>
        <v>0</v>
      </c>
      <c r="P45" s="33"/>
      <c r="Q45" s="168">
        <f t="shared" si="5"/>
        <v>0</v>
      </c>
    </row>
    <row r="46" spans="1:17" s="19" customFormat="1" ht="14.25" customHeight="1" hidden="1">
      <c r="A46" s="26" t="s">
        <v>26</v>
      </c>
      <c r="B46" s="72"/>
      <c r="C46" s="72"/>
      <c r="D46" s="73">
        <v>290</v>
      </c>
      <c r="E46" s="79">
        <f>E71+E101</f>
        <v>21000</v>
      </c>
      <c r="F46" s="33"/>
      <c r="G46" s="177">
        <f t="shared" si="0"/>
        <v>21000</v>
      </c>
      <c r="H46" s="33"/>
      <c r="I46" s="177">
        <f t="shared" si="1"/>
        <v>21000</v>
      </c>
      <c r="J46" s="33"/>
      <c r="K46" s="177">
        <f t="shared" si="2"/>
        <v>21000</v>
      </c>
      <c r="L46" s="33"/>
      <c r="M46" s="177">
        <f t="shared" si="3"/>
        <v>21000</v>
      </c>
      <c r="N46" s="33"/>
      <c r="O46" s="177">
        <f t="shared" si="4"/>
        <v>21000</v>
      </c>
      <c r="P46" s="33"/>
      <c r="Q46" s="168">
        <f t="shared" si="5"/>
        <v>21000</v>
      </c>
    </row>
    <row r="47" spans="1:17" s="19" customFormat="1" ht="14.25" customHeight="1" hidden="1">
      <c r="A47" s="26" t="s">
        <v>27</v>
      </c>
      <c r="B47" s="72"/>
      <c r="C47" s="72"/>
      <c r="D47" s="73">
        <v>310</v>
      </c>
      <c r="E47" s="79">
        <f>E72+E102</f>
        <v>0</v>
      </c>
      <c r="F47" s="33"/>
      <c r="G47" s="177">
        <f t="shared" si="0"/>
        <v>0</v>
      </c>
      <c r="H47" s="33"/>
      <c r="I47" s="177">
        <f t="shared" si="1"/>
        <v>0</v>
      </c>
      <c r="J47" s="33"/>
      <c r="K47" s="177">
        <f t="shared" si="2"/>
        <v>0</v>
      </c>
      <c r="L47" s="33"/>
      <c r="M47" s="177">
        <f t="shared" si="3"/>
        <v>0</v>
      </c>
      <c r="N47" s="33"/>
      <c r="O47" s="177">
        <f t="shared" si="4"/>
        <v>0</v>
      </c>
      <c r="P47" s="33"/>
      <c r="Q47" s="168">
        <f t="shared" si="5"/>
        <v>0</v>
      </c>
    </row>
    <row r="48" spans="1:17" s="19" customFormat="1" ht="14.25" customHeight="1">
      <c r="A48" s="24" t="s">
        <v>26</v>
      </c>
      <c r="B48" s="72"/>
      <c r="C48" s="72"/>
      <c r="D48" s="73">
        <v>290</v>
      </c>
      <c r="E48" s="79">
        <f>E71</f>
        <v>21000</v>
      </c>
      <c r="F48" s="33"/>
      <c r="G48" s="177">
        <f t="shared" si="0"/>
        <v>21000</v>
      </c>
      <c r="H48" s="33"/>
      <c r="I48" s="177">
        <f t="shared" si="1"/>
        <v>21000</v>
      </c>
      <c r="J48" s="33"/>
      <c r="K48" s="177">
        <f t="shared" si="2"/>
        <v>21000</v>
      </c>
      <c r="L48" s="33"/>
      <c r="M48" s="177">
        <f t="shared" si="3"/>
        <v>21000</v>
      </c>
      <c r="N48" s="33"/>
      <c r="O48" s="177">
        <f t="shared" si="4"/>
        <v>21000</v>
      </c>
      <c r="P48" s="33"/>
      <c r="Q48" s="168">
        <f t="shared" si="5"/>
        <v>21000</v>
      </c>
    </row>
    <row r="49" spans="1:17" s="19" customFormat="1" ht="23.25" customHeight="1">
      <c r="A49" s="26" t="s">
        <v>28</v>
      </c>
      <c r="B49" s="72"/>
      <c r="C49" s="72"/>
      <c r="D49" s="73">
        <v>340</v>
      </c>
      <c r="E49" s="79">
        <f>E73+E104</f>
        <v>31000</v>
      </c>
      <c r="F49" s="33"/>
      <c r="G49" s="177">
        <f t="shared" si="0"/>
        <v>31000</v>
      </c>
      <c r="H49" s="33"/>
      <c r="I49" s="177">
        <f t="shared" si="1"/>
        <v>31000</v>
      </c>
      <c r="J49" s="33"/>
      <c r="K49" s="177">
        <f t="shared" si="2"/>
        <v>31000</v>
      </c>
      <c r="L49" s="33"/>
      <c r="M49" s="177">
        <f t="shared" si="3"/>
        <v>31000</v>
      </c>
      <c r="N49" s="33"/>
      <c r="O49" s="177">
        <f t="shared" si="4"/>
        <v>31000</v>
      </c>
      <c r="P49" s="33"/>
      <c r="Q49" s="168">
        <f t="shared" si="5"/>
        <v>31000</v>
      </c>
    </row>
    <row r="50" spans="1:17" s="19" customFormat="1" ht="18" customHeight="1">
      <c r="A50" s="341" t="s">
        <v>123</v>
      </c>
      <c r="B50" s="341"/>
      <c r="C50" s="341"/>
      <c r="D50" s="341"/>
      <c r="E50" s="338"/>
      <c r="F50" s="33"/>
      <c r="G50" s="177">
        <f t="shared" si="0"/>
        <v>0</v>
      </c>
      <c r="H50" s="33"/>
      <c r="I50" s="177">
        <f t="shared" si="1"/>
        <v>0</v>
      </c>
      <c r="J50" s="33"/>
      <c r="K50" s="177">
        <f t="shared" si="2"/>
        <v>0</v>
      </c>
      <c r="L50" s="33"/>
      <c r="M50" s="177">
        <f t="shared" si="3"/>
        <v>0</v>
      </c>
      <c r="N50" s="33"/>
      <c r="O50" s="177">
        <f t="shared" si="4"/>
        <v>0</v>
      </c>
      <c r="P50" s="33"/>
      <c r="Q50" s="168">
        <f t="shared" si="5"/>
        <v>0</v>
      </c>
    </row>
    <row r="51" spans="1:17" s="19" customFormat="1" ht="15.75">
      <c r="A51" s="28" t="s">
        <v>29</v>
      </c>
      <c r="B51" s="72"/>
      <c r="C51" s="72"/>
      <c r="D51" s="73"/>
      <c r="E51" s="80">
        <f>SUM(E52:E59)+SUM(E60:E73)+E74</f>
        <v>11069300</v>
      </c>
      <c r="F51" s="33"/>
      <c r="G51" s="177">
        <f t="shared" si="0"/>
        <v>11069300</v>
      </c>
      <c r="H51" s="33">
        <f>H70+H71</f>
        <v>0</v>
      </c>
      <c r="I51" s="177">
        <f t="shared" si="1"/>
        <v>11069300</v>
      </c>
      <c r="J51" s="33"/>
      <c r="K51" s="177">
        <f t="shared" si="2"/>
        <v>11069300</v>
      </c>
      <c r="L51" s="33"/>
      <c r="M51" s="177">
        <f t="shared" si="3"/>
        <v>11069300</v>
      </c>
      <c r="N51" s="33">
        <f>N56+N62</f>
        <v>0</v>
      </c>
      <c r="O51" s="177">
        <f t="shared" si="4"/>
        <v>11069300</v>
      </c>
      <c r="P51" s="33">
        <f>P52+P54</f>
        <v>95996</v>
      </c>
      <c r="Q51" s="168">
        <f t="shared" si="5"/>
        <v>11165296</v>
      </c>
    </row>
    <row r="52" spans="1:17" s="19" customFormat="1" ht="13.5" customHeight="1">
      <c r="A52" s="24" t="s">
        <v>15</v>
      </c>
      <c r="B52" s="72"/>
      <c r="C52" s="72">
        <v>111</v>
      </c>
      <c r="D52" s="73">
        <v>211</v>
      </c>
      <c r="E52" s="79">
        <v>8279300</v>
      </c>
      <c r="F52" s="33"/>
      <c r="G52" s="177">
        <f t="shared" si="0"/>
        <v>8279300</v>
      </c>
      <c r="H52" s="33"/>
      <c r="I52" s="177">
        <f t="shared" si="1"/>
        <v>8279300</v>
      </c>
      <c r="J52" s="33"/>
      <c r="K52" s="177">
        <f t="shared" si="2"/>
        <v>8279300</v>
      </c>
      <c r="L52" s="33"/>
      <c r="M52" s="177">
        <f t="shared" si="3"/>
        <v>8279300</v>
      </c>
      <c r="N52" s="33"/>
      <c r="O52" s="177">
        <f t="shared" si="4"/>
        <v>8279300</v>
      </c>
      <c r="P52" s="33">
        <v>90777</v>
      </c>
      <c r="Q52" s="168">
        <f t="shared" si="5"/>
        <v>8370077</v>
      </c>
    </row>
    <row r="53" spans="1:17" s="19" customFormat="1" ht="13.5" customHeight="1">
      <c r="A53" s="24" t="s">
        <v>16</v>
      </c>
      <c r="B53" s="72"/>
      <c r="C53" s="72">
        <v>112</v>
      </c>
      <c r="D53" s="73">
        <v>212</v>
      </c>
      <c r="E53" s="79">
        <v>10000</v>
      </c>
      <c r="F53" s="33"/>
      <c r="G53" s="177">
        <f t="shared" si="0"/>
        <v>10000</v>
      </c>
      <c r="H53" s="33"/>
      <c r="I53" s="177">
        <f t="shared" si="1"/>
        <v>10000</v>
      </c>
      <c r="J53" s="33"/>
      <c r="K53" s="177">
        <f t="shared" si="2"/>
        <v>10000</v>
      </c>
      <c r="L53" s="33"/>
      <c r="M53" s="177">
        <f t="shared" si="3"/>
        <v>10000</v>
      </c>
      <c r="N53" s="33"/>
      <c r="O53" s="177">
        <f t="shared" si="4"/>
        <v>10000</v>
      </c>
      <c r="P53" s="33"/>
      <c r="Q53" s="168">
        <f t="shared" si="5"/>
        <v>10000</v>
      </c>
    </row>
    <row r="54" spans="1:17" s="19" customFormat="1" ht="13.5" customHeight="1">
      <c r="A54" s="24" t="s">
        <v>17</v>
      </c>
      <c r="B54" s="72"/>
      <c r="C54" s="72">
        <v>119</v>
      </c>
      <c r="D54" s="73">
        <v>213</v>
      </c>
      <c r="E54" s="79">
        <v>2500300</v>
      </c>
      <c r="F54" s="33"/>
      <c r="G54" s="177">
        <f t="shared" si="0"/>
        <v>2500300</v>
      </c>
      <c r="H54" s="33"/>
      <c r="I54" s="177">
        <f t="shared" si="1"/>
        <v>2500300</v>
      </c>
      <c r="J54" s="33"/>
      <c r="K54" s="177">
        <f t="shared" si="2"/>
        <v>2500300</v>
      </c>
      <c r="L54" s="33"/>
      <c r="M54" s="177">
        <f t="shared" si="3"/>
        <v>2500300</v>
      </c>
      <c r="N54" s="33"/>
      <c r="O54" s="177">
        <f t="shared" si="4"/>
        <v>2500300</v>
      </c>
      <c r="P54" s="33">
        <v>5219</v>
      </c>
      <c r="Q54" s="168">
        <f t="shared" si="5"/>
        <v>2505519</v>
      </c>
    </row>
    <row r="55" spans="1:17" s="19" customFormat="1" ht="13.5" customHeight="1" hidden="1">
      <c r="A55" s="24" t="s">
        <v>18</v>
      </c>
      <c r="B55" s="72"/>
      <c r="C55" s="72">
        <v>242</v>
      </c>
      <c r="D55" s="73">
        <v>221</v>
      </c>
      <c r="E55" s="79"/>
      <c r="F55" s="33"/>
      <c r="G55" s="177">
        <f t="shared" si="0"/>
        <v>0</v>
      </c>
      <c r="H55" s="33"/>
      <c r="I55" s="177">
        <f t="shared" si="1"/>
        <v>0</v>
      </c>
      <c r="J55" s="33"/>
      <c r="K55" s="177">
        <f t="shared" si="2"/>
        <v>0</v>
      </c>
      <c r="L55" s="33"/>
      <c r="M55" s="177">
        <f t="shared" si="3"/>
        <v>0</v>
      </c>
      <c r="N55" s="33"/>
      <c r="O55" s="177">
        <f t="shared" si="4"/>
        <v>0</v>
      </c>
      <c r="P55" s="33"/>
      <c r="Q55" s="168">
        <f t="shared" si="5"/>
        <v>0</v>
      </c>
    </row>
    <row r="56" spans="1:17" s="19" customFormat="1" ht="13.5" customHeight="1">
      <c r="A56" s="24" t="s">
        <v>18</v>
      </c>
      <c r="B56" s="72"/>
      <c r="C56" s="72">
        <v>244</v>
      </c>
      <c r="D56" s="73">
        <v>221</v>
      </c>
      <c r="E56" s="79">
        <v>28300</v>
      </c>
      <c r="F56" s="33"/>
      <c r="G56" s="177">
        <f t="shared" si="0"/>
        <v>28300</v>
      </c>
      <c r="H56" s="33"/>
      <c r="I56" s="177">
        <f t="shared" si="1"/>
        <v>28300</v>
      </c>
      <c r="J56" s="33"/>
      <c r="K56" s="177">
        <f t="shared" si="2"/>
        <v>28300</v>
      </c>
      <c r="L56" s="33"/>
      <c r="M56" s="177">
        <f t="shared" si="3"/>
        <v>28300</v>
      </c>
      <c r="N56" s="33">
        <v>18000</v>
      </c>
      <c r="O56" s="177">
        <f t="shared" si="4"/>
        <v>46300</v>
      </c>
      <c r="P56" s="33"/>
      <c r="Q56" s="168">
        <f t="shared" si="5"/>
        <v>46300</v>
      </c>
    </row>
    <row r="57" spans="1:17" s="19" customFormat="1" ht="13.5" customHeight="1" hidden="1">
      <c r="A57" s="24" t="s">
        <v>19</v>
      </c>
      <c r="B57" s="72"/>
      <c r="C57" s="72">
        <v>112</v>
      </c>
      <c r="D57" s="73">
        <v>222</v>
      </c>
      <c r="E57" s="79"/>
      <c r="F57" s="33"/>
      <c r="G57" s="177">
        <f t="shared" si="0"/>
        <v>0</v>
      </c>
      <c r="H57" s="33"/>
      <c r="I57" s="177">
        <f t="shared" si="1"/>
        <v>0</v>
      </c>
      <c r="J57" s="33"/>
      <c r="K57" s="177">
        <f t="shared" si="2"/>
        <v>0</v>
      </c>
      <c r="L57" s="33"/>
      <c r="M57" s="177">
        <f t="shared" si="3"/>
        <v>0</v>
      </c>
      <c r="N57" s="33"/>
      <c r="O57" s="177">
        <f t="shared" si="4"/>
        <v>0</v>
      </c>
      <c r="P57" s="33"/>
      <c r="Q57" s="168">
        <f t="shared" si="5"/>
        <v>0</v>
      </c>
    </row>
    <row r="58" spans="1:17" s="19" customFormat="1" ht="13.5" customHeight="1">
      <c r="A58" s="24" t="s">
        <v>19</v>
      </c>
      <c r="B58" s="72"/>
      <c r="C58" s="72">
        <v>244</v>
      </c>
      <c r="D58" s="73">
        <v>222</v>
      </c>
      <c r="E58" s="79">
        <v>25000</v>
      </c>
      <c r="F58" s="33"/>
      <c r="G58" s="177">
        <f t="shared" si="0"/>
        <v>25000</v>
      </c>
      <c r="H58" s="33"/>
      <c r="I58" s="177">
        <f t="shared" si="1"/>
        <v>25000</v>
      </c>
      <c r="J58" s="33"/>
      <c r="K58" s="177">
        <f t="shared" si="2"/>
        <v>25000</v>
      </c>
      <c r="L58" s="33"/>
      <c r="M58" s="177">
        <f t="shared" si="3"/>
        <v>25000</v>
      </c>
      <c r="N58" s="33"/>
      <c r="O58" s="177">
        <f t="shared" si="4"/>
        <v>25000</v>
      </c>
      <c r="P58" s="33"/>
      <c r="Q58" s="168">
        <f t="shared" si="5"/>
        <v>25000</v>
      </c>
    </row>
    <row r="59" spans="1:17" s="19" customFormat="1" ht="13.5" customHeight="1" hidden="1">
      <c r="A59" s="24" t="s">
        <v>20</v>
      </c>
      <c r="B59" s="72"/>
      <c r="C59" s="72"/>
      <c r="D59" s="73">
        <v>223</v>
      </c>
      <c r="E59" s="84"/>
      <c r="F59" s="33"/>
      <c r="G59" s="177">
        <f t="shared" si="0"/>
        <v>0</v>
      </c>
      <c r="H59" s="33"/>
      <c r="I59" s="177">
        <f t="shared" si="1"/>
        <v>0</v>
      </c>
      <c r="J59" s="33"/>
      <c r="K59" s="177">
        <f t="shared" si="2"/>
        <v>0</v>
      </c>
      <c r="L59" s="33"/>
      <c r="M59" s="177">
        <f t="shared" si="3"/>
        <v>0</v>
      </c>
      <c r="N59" s="33"/>
      <c r="O59" s="177">
        <f t="shared" si="4"/>
        <v>0</v>
      </c>
      <c r="P59" s="33"/>
      <c r="Q59" s="168">
        <f t="shared" si="5"/>
        <v>0</v>
      </c>
    </row>
    <row r="60" spans="1:17" s="19" customFormat="1" ht="13.5" customHeight="1" hidden="1">
      <c r="A60" s="24" t="s">
        <v>21</v>
      </c>
      <c r="B60" s="72"/>
      <c r="C60" s="72"/>
      <c r="D60" s="73">
        <v>224</v>
      </c>
      <c r="E60" s="79"/>
      <c r="F60" s="33"/>
      <c r="G60" s="177">
        <f t="shared" si="0"/>
        <v>0</v>
      </c>
      <c r="H60" s="33"/>
      <c r="I60" s="177">
        <f t="shared" si="1"/>
        <v>0</v>
      </c>
      <c r="J60" s="33"/>
      <c r="K60" s="177">
        <f t="shared" si="2"/>
        <v>0</v>
      </c>
      <c r="L60" s="33"/>
      <c r="M60" s="177">
        <f t="shared" si="3"/>
        <v>0</v>
      </c>
      <c r="N60" s="33"/>
      <c r="O60" s="177">
        <f t="shared" si="4"/>
        <v>0</v>
      </c>
      <c r="P60" s="33"/>
      <c r="Q60" s="168">
        <f t="shared" si="5"/>
        <v>0</v>
      </c>
    </row>
    <row r="61" spans="1:17" s="19" customFormat="1" ht="13.5" customHeight="1" hidden="1">
      <c r="A61" s="24" t="s">
        <v>22</v>
      </c>
      <c r="B61" s="72"/>
      <c r="C61" s="72"/>
      <c r="D61" s="73">
        <v>225</v>
      </c>
      <c r="E61" s="79"/>
      <c r="F61" s="33"/>
      <c r="G61" s="177">
        <f t="shared" si="0"/>
        <v>0</v>
      </c>
      <c r="H61" s="33"/>
      <c r="I61" s="177">
        <f t="shared" si="1"/>
        <v>0</v>
      </c>
      <c r="J61" s="33"/>
      <c r="K61" s="177">
        <f t="shared" si="2"/>
        <v>0</v>
      </c>
      <c r="L61" s="33"/>
      <c r="M61" s="177">
        <f t="shared" si="3"/>
        <v>0</v>
      </c>
      <c r="N61" s="33"/>
      <c r="O61" s="177">
        <f t="shared" si="4"/>
        <v>0</v>
      </c>
      <c r="P61" s="33"/>
      <c r="Q61" s="168">
        <f t="shared" si="5"/>
        <v>0</v>
      </c>
    </row>
    <row r="62" spans="1:17" s="19" customFormat="1" ht="13.5" customHeight="1">
      <c r="A62" s="24" t="s">
        <v>23</v>
      </c>
      <c r="B62" s="72"/>
      <c r="C62" s="72">
        <v>244</v>
      </c>
      <c r="D62" s="73">
        <v>226</v>
      </c>
      <c r="E62" s="79">
        <v>195900</v>
      </c>
      <c r="F62" s="33"/>
      <c r="G62" s="177">
        <f t="shared" si="0"/>
        <v>195900</v>
      </c>
      <c r="H62" s="33"/>
      <c r="I62" s="177">
        <f t="shared" si="1"/>
        <v>195900</v>
      </c>
      <c r="J62" s="33"/>
      <c r="K62" s="177">
        <f t="shared" si="2"/>
        <v>195900</v>
      </c>
      <c r="L62" s="33"/>
      <c r="M62" s="177">
        <f t="shared" si="3"/>
        <v>195900</v>
      </c>
      <c r="N62" s="33">
        <v>-18000</v>
      </c>
      <c r="O62" s="177">
        <f t="shared" si="4"/>
        <v>177900</v>
      </c>
      <c r="P62" s="33"/>
      <c r="Q62" s="168">
        <f t="shared" si="5"/>
        <v>177900</v>
      </c>
    </row>
    <row r="63" spans="1:17" s="19" customFormat="1" ht="13.5" customHeight="1" hidden="1">
      <c r="A63" s="24" t="s">
        <v>24</v>
      </c>
      <c r="B63" s="72"/>
      <c r="C63" s="72"/>
      <c r="D63" s="73">
        <v>240</v>
      </c>
      <c r="E63" s="79"/>
      <c r="F63" s="33"/>
      <c r="G63" s="177">
        <f t="shared" si="0"/>
        <v>0</v>
      </c>
      <c r="H63" s="33"/>
      <c r="I63" s="177">
        <f t="shared" si="1"/>
        <v>0</v>
      </c>
      <c r="J63" s="33"/>
      <c r="K63" s="177">
        <f t="shared" si="2"/>
        <v>0</v>
      </c>
      <c r="L63" s="33"/>
      <c r="M63" s="177">
        <f t="shared" si="3"/>
        <v>0</v>
      </c>
      <c r="N63" s="33"/>
      <c r="O63" s="177">
        <f t="shared" si="4"/>
        <v>0</v>
      </c>
      <c r="P63" s="33"/>
      <c r="Q63" s="168">
        <f t="shared" si="5"/>
        <v>0</v>
      </c>
    </row>
    <row r="64" spans="1:17" s="19" customFormat="1" ht="13.5" customHeight="1" hidden="1">
      <c r="A64" s="24" t="s">
        <v>32</v>
      </c>
      <c r="B64" s="72"/>
      <c r="C64" s="72"/>
      <c r="D64" s="73"/>
      <c r="E64" s="79"/>
      <c r="F64" s="33"/>
      <c r="G64" s="177">
        <f t="shared" si="0"/>
        <v>0</v>
      </c>
      <c r="H64" s="33"/>
      <c r="I64" s="177">
        <f t="shared" si="1"/>
        <v>0</v>
      </c>
      <c r="J64" s="33"/>
      <c r="K64" s="177">
        <f t="shared" si="2"/>
        <v>0</v>
      </c>
      <c r="L64" s="33"/>
      <c r="M64" s="177">
        <f t="shared" si="3"/>
        <v>0</v>
      </c>
      <c r="N64" s="33"/>
      <c r="O64" s="177">
        <f t="shared" si="4"/>
        <v>0</v>
      </c>
      <c r="P64" s="33"/>
      <c r="Q64" s="168">
        <f t="shared" si="5"/>
        <v>0</v>
      </c>
    </row>
    <row r="65" spans="1:17" s="19" customFormat="1" ht="13.5" customHeight="1" hidden="1">
      <c r="A65" s="24" t="s">
        <v>33</v>
      </c>
      <c r="B65" s="72"/>
      <c r="C65" s="72"/>
      <c r="D65" s="73">
        <v>241</v>
      </c>
      <c r="E65" s="79"/>
      <c r="F65" s="33"/>
      <c r="G65" s="177">
        <f t="shared" si="0"/>
        <v>0</v>
      </c>
      <c r="H65" s="33"/>
      <c r="I65" s="177">
        <f t="shared" si="1"/>
        <v>0</v>
      </c>
      <c r="J65" s="33"/>
      <c r="K65" s="177">
        <f t="shared" si="2"/>
        <v>0</v>
      </c>
      <c r="L65" s="33"/>
      <c r="M65" s="177">
        <f t="shared" si="3"/>
        <v>0</v>
      </c>
      <c r="N65" s="33"/>
      <c r="O65" s="177">
        <f t="shared" si="4"/>
        <v>0</v>
      </c>
      <c r="P65" s="33"/>
      <c r="Q65" s="168">
        <f t="shared" si="5"/>
        <v>0</v>
      </c>
    </row>
    <row r="66" spans="1:17" s="19" customFormat="1" ht="13.5" customHeight="1" hidden="1">
      <c r="A66" s="24" t="s">
        <v>25</v>
      </c>
      <c r="B66" s="72"/>
      <c r="C66" s="72"/>
      <c r="D66" s="73">
        <v>260</v>
      </c>
      <c r="E66" s="79"/>
      <c r="F66" s="33"/>
      <c r="G66" s="177">
        <f t="shared" si="0"/>
        <v>0</v>
      </c>
      <c r="H66" s="33"/>
      <c r="I66" s="177">
        <f t="shared" si="1"/>
        <v>0</v>
      </c>
      <c r="J66" s="33"/>
      <c r="K66" s="177">
        <f t="shared" si="2"/>
        <v>0</v>
      </c>
      <c r="L66" s="33"/>
      <c r="M66" s="177">
        <f t="shared" si="3"/>
        <v>0</v>
      </c>
      <c r="N66" s="33"/>
      <c r="O66" s="177">
        <f t="shared" si="4"/>
        <v>0</v>
      </c>
      <c r="P66" s="33"/>
      <c r="Q66" s="168">
        <f t="shared" si="5"/>
        <v>0</v>
      </c>
    </row>
    <row r="67" spans="1:17" s="19" customFormat="1" ht="13.5" customHeight="1" hidden="1">
      <c r="A67" s="24" t="s">
        <v>32</v>
      </c>
      <c r="B67" s="72"/>
      <c r="C67" s="72"/>
      <c r="D67" s="73"/>
      <c r="E67" s="79"/>
      <c r="F67" s="33"/>
      <c r="G67" s="177">
        <f t="shared" si="0"/>
        <v>0</v>
      </c>
      <c r="H67" s="33"/>
      <c r="I67" s="177">
        <f t="shared" si="1"/>
        <v>0</v>
      </c>
      <c r="J67" s="33"/>
      <c r="K67" s="177">
        <f t="shared" si="2"/>
        <v>0</v>
      </c>
      <c r="L67" s="33"/>
      <c r="M67" s="177">
        <f t="shared" si="3"/>
        <v>0</v>
      </c>
      <c r="N67" s="33"/>
      <c r="O67" s="177">
        <f t="shared" si="4"/>
        <v>0</v>
      </c>
      <c r="P67" s="33"/>
      <c r="Q67" s="168">
        <f t="shared" si="5"/>
        <v>0</v>
      </c>
    </row>
    <row r="68" spans="1:17" s="19" customFormat="1" ht="13.5" customHeight="1" hidden="1">
      <c r="A68" s="24" t="s">
        <v>34</v>
      </c>
      <c r="B68" s="72"/>
      <c r="C68" s="72"/>
      <c r="D68" s="73">
        <v>262</v>
      </c>
      <c r="E68" s="79"/>
      <c r="F68" s="33"/>
      <c r="G68" s="177">
        <f t="shared" si="0"/>
        <v>0</v>
      </c>
      <c r="H68" s="33"/>
      <c r="I68" s="177">
        <f t="shared" si="1"/>
        <v>0</v>
      </c>
      <c r="J68" s="33"/>
      <c r="K68" s="177">
        <f t="shared" si="2"/>
        <v>0</v>
      </c>
      <c r="L68" s="33"/>
      <c r="M68" s="177">
        <f t="shared" si="3"/>
        <v>0</v>
      </c>
      <c r="N68" s="33"/>
      <c r="O68" s="177">
        <f t="shared" si="4"/>
        <v>0</v>
      </c>
      <c r="P68" s="33"/>
      <c r="Q68" s="168">
        <f t="shared" si="5"/>
        <v>0</v>
      </c>
    </row>
    <row r="69" spans="1:17" s="19" customFormat="1" ht="13.5" customHeight="1" hidden="1">
      <c r="A69" s="24" t="s">
        <v>26</v>
      </c>
      <c r="B69" s="72"/>
      <c r="C69" s="72">
        <v>112</v>
      </c>
      <c r="D69" s="73">
        <v>290</v>
      </c>
      <c r="E69" s="79"/>
      <c r="F69" s="33"/>
      <c r="G69" s="177">
        <f t="shared" si="0"/>
        <v>0</v>
      </c>
      <c r="H69" s="33"/>
      <c r="I69" s="177">
        <f t="shared" si="1"/>
        <v>0</v>
      </c>
      <c r="J69" s="33"/>
      <c r="K69" s="177">
        <f t="shared" si="2"/>
        <v>0</v>
      </c>
      <c r="L69" s="33"/>
      <c r="M69" s="177">
        <f t="shared" si="3"/>
        <v>0</v>
      </c>
      <c r="N69" s="33"/>
      <c r="O69" s="177">
        <f t="shared" si="4"/>
        <v>0</v>
      </c>
      <c r="P69" s="33"/>
      <c r="Q69" s="168">
        <f t="shared" si="5"/>
        <v>0</v>
      </c>
    </row>
    <row r="70" spans="1:17" s="19" customFormat="1" ht="13.5" customHeight="1">
      <c r="A70" s="24" t="s">
        <v>26</v>
      </c>
      <c r="B70" s="72"/>
      <c r="C70" s="72">
        <v>113</v>
      </c>
      <c r="D70" s="73">
        <v>290</v>
      </c>
      <c r="E70" s="79"/>
      <c r="F70" s="33"/>
      <c r="G70" s="177">
        <v>0</v>
      </c>
      <c r="H70" s="33">
        <v>15000</v>
      </c>
      <c r="I70" s="177">
        <f t="shared" si="1"/>
        <v>15000</v>
      </c>
      <c r="J70" s="33"/>
      <c r="K70" s="177">
        <f t="shared" si="2"/>
        <v>15000</v>
      </c>
      <c r="L70" s="33"/>
      <c r="M70" s="177">
        <f t="shared" si="3"/>
        <v>15000</v>
      </c>
      <c r="N70" s="33"/>
      <c r="O70" s="177">
        <f t="shared" si="4"/>
        <v>15000</v>
      </c>
      <c r="P70" s="33"/>
      <c r="Q70" s="168">
        <f t="shared" si="5"/>
        <v>15000</v>
      </c>
    </row>
    <row r="71" spans="1:17" s="19" customFormat="1" ht="13.5" customHeight="1">
      <c r="A71" s="24" t="s">
        <v>26</v>
      </c>
      <c r="B71" s="72"/>
      <c r="C71" s="72">
        <v>244</v>
      </c>
      <c r="D71" s="73">
        <v>290</v>
      </c>
      <c r="E71" s="79">
        <v>21000</v>
      </c>
      <c r="F71" s="33"/>
      <c r="G71" s="177">
        <f t="shared" si="0"/>
        <v>21000</v>
      </c>
      <c r="H71" s="33">
        <v>-15000</v>
      </c>
      <c r="I71" s="177">
        <f t="shared" si="1"/>
        <v>6000</v>
      </c>
      <c r="J71" s="33"/>
      <c r="K71" s="177">
        <f t="shared" si="2"/>
        <v>6000</v>
      </c>
      <c r="L71" s="33"/>
      <c r="M71" s="177">
        <f t="shared" si="3"/>
        <v>6000</v>
      </c>
      <c r="N71" s="33"/>
      <c r="O71" s="177">
        <f t="shared" si="4"/>
        <v>6000</v>
      </c>
      <c r="P71" s="33"/>
      <c r="Q71" s="168">
        <f t="shared" si="5"/>
        <v>6000</v>
      </c>
    </row>
    <row r="72" spans="1:17" s="19" customFormat="1" ht="13.5" customHeight="1" hidden="1">
      <c r="A72" s="24" t="s">
        <v>27</v>
      </c>
      <c r="B72" s="72"/>
      <c r="C72" s="72"/>
      <c r="D72" s="73">
        <v>310</v>
      </c>
      <c r="E72" s="79"/>
      <c r="F72" s="33"/>
      <c r="G72" s="177">
        <f t="shared" si="0"/>
        <v>0</v>
      </c>
      <c r="H72" s="33"/>
      <c r="I72" s="177">
        <f t="shared" si="1"/>
        <v>0</v>
      </c>
      <c r="J72" s="33"/>
      <c r="K72" s="177">
        <f t="shared" si="2"/>
        <v>0</v>
      </c>
      <c r="L72" s="33"/>
      <c r="M72" s="177">
        <f t="shared" si="3"/>
        <v>0</v>
      </c>
      <c r="N72" s="33"/>
      <c r="O72" s="177">
        <f t="shared" si="4"/>
        <v>0</v>
      </c>
      <c r="P72" s="33"/>
      <c r="Q72" s="168">
        <f t="shared" si="5"/>
        <v>0</v>
      </c>
    </row>
    <row r="73" spans="1:17" s="19" customFormat="1" ht="24" customHeight="1">
      <c r="A73" s="24" t="s">
        <v>28</v>
      </c>
      <c r="B73" s="72"/>
      <c r="C73" s="72">
        <v>244</v>
      </c>
      <c r="D73" s="73">
        <v>340</v>
      </c>
      <c r="E73" s="79">
        <v>9500</v>
      </c>
      <c r="F73" s="33"/>
      <c r="G73" s="177">
        <f t="shared" si="0"/>
        <v>9500</v>
      </c>
      <c r="H73" s="33"/>
      <c r="I73" s="177">
        <f t="shared" si="1"/>
        <v>9500</v>
      </c>
      <c r="J73" s="33"/>
      <c r="K73" s="177">
        <f t="shared" si="2"/>
        <v>9500</v>
      </c>
      <c r="L73" s="33"/>
      <c r="M73" s="177">
        <f t="shared" si="3"/>
        <v>9500</v>
      </c>
      <c r="N73" s="33"/>
      <c r="O73" s="177">
        <f t="shared" si="4"/>
        <v>9500</v>
      </c>
      <c r="P73" s="33"/>
      <c r="Q73" s="168">
        <f t="shared" si="5"/>
        <v>9500</v>
      </c>
    </row>
    <row r="74" spans="1:17" s="19" customFormat="1" ht="25.5" customHeight="1" hidden="1">
      <c r="A74" s="24" t="s">
        <v>28</v>
      </c>
      <c r="B74" s="72"/>
      <c r="C74" s="72">
        <v>244</v>
      </c>
      <c r="D74" s="73">
        <v>340</v>
      </c>
      <c r="E74" s="79"/>
      <c r="F74" s="33"/>
      <c r="G74" s="177">
        <f t="shared" si="0"/>
        <v>0</v>
      </c>
      <c r="H74" s="33"/>
      <c r="I74" s="177">
        <f t="shared" si="1"/>
        <v>0</v>
      </c>
      <c r="J74" s="33"/>
      <c r="K74" s="177">
        <f aca="true" t="shared" si="6" ref="K74:K138">I74+J74</f>
        <v>0</v>
      </c>
      <c r="L74" s="33"/>
      <c r="M74" s="177">
        <f aca="true" t="shared" si="7" ref="M74:M137">K74+L74</f>
        <v>0</v>
      </c>
      <c r="N74" s="33"/>
      <c r="O74" s="177">
        <f aca="true" t="shared" si="8" ref="O74:O137">M74+N74</f>
        <v>0</v>
      </c>
      <c r="P74" s="33"/>
      <c r="Q74" s="168">
        <f aca="true" t="shared" si="9" ref="Q74:Q137">O74+P74</f>
        <v>0</v>
      </c>
    </row>
    <row r="75" spans="1:17" s="19" customFormat="1" ht="20.25" customHeight="1" hidden="1">
      <c r="A75" s="24" t="s">
        <v>35</v>
      </c>
      <c r="B75" s="72"/>
      <c r="C75" s="72"/>
      <c r="D75" s="73" t="s">
        <v>36</v>
      </c>
      <c r="E75" s="79"/>
      <c r="F75" s="33"/>
      <c r="G75" s="177">
        <f aca="true" t="shared" si="10" ref="G75:G140">E75+F75</f>
        <v>0</v>
      </c>
      <c r="H75" s="33"/>
      <c r="I75" s="177">
        <f aca="true" t="shared" si="11" ref="I75:I140">G75+H75</f>
        <v>0</v>
      </c>
      <c r="J75" s="33"/>
      <c r="K75" s="177">
        <f t="shared" si="6"/>
        <v>0</v>
      </c>
      <c r="L75" s="33"/>
      <c r="M75" s="177">
        <f t="shared" si="7"/>
        <v>0</v>
      </c>
      <c r="N75" s="33"/>
      <c r="O75" s="177">
        <f t="shared" si="8"/>
        <v>0</v>
      </c>
      <c r="P75" s="33"/>
      <c r="Q75" s="168">
        <f t="shared" si="9"/>
        <v>0</v>
      </c>
    </row>
    <row r="76" spans="1:17" s="19" customFormat="1" ht="20.25" customHeight="1" hidden="1">
      <c r="A76" s="24" t="s">
        <v>37</v>
      </c>
      <c r="B76" s="72"/>
      <c r="C76" s="72">
        <v>244</v>
      </c>
      <c r="D76" s="73" t="s">
        <v>38</v>
      </c>
      <c r="E76" s="79">
        <v>0</v>
      </c>
      <c r="F76" s="33"/>
      <c r="G76" s="177">
        <f t="shared" si="10"/>
        <v>0</v>
      </c>
      <c r="H76" s="33"/>
      <c r="I76" s="177">
        <f t="shared" si="11"/>
        <v>0</v>
      </c>
      <c r="J76" s="33"/>
      <c r="K76" s="177">
        <f t="shared" si="6"/>
        <v>0</v>
      </c>
      <c r="L76" s="33"/>
      <c r="M76" s="177">
        <f t="shared" si="7"/>
        <v>0</v>
      </c>
      <c r="N76" s="33"/>
      <c r="O76" s="177">
        <f t="shared" si="8"/>
        <v>0</v>
      </c>
      <c r="P76" s="33"/>
      <c r="Q76" s="168">
        <f t="shared" si="9"/>
        <v>0</v>
      </c>
    </row>
    <row r="77" spans="1:17" s="19" customFormat="1" ht="20.25" customHeight="1" hidden="1">
      <c r="A77" s="24" t="s">
        <v>41</v>
      </c>
      <c r="B77" s="72"/>
      <c r="C77" s="72">
        <v>242</v>
      </c>
      <c r="D77" s="73" t="s">
        <v>42</v>
      </c>
      <c r="E77" s="79">
        <v>8000</v>
      </c>
      <c r="F77" s="33"/>
      <c r="G77" s="177">
        <f t="shared" si="10"/>
        <v>8000</v>
      </c>
      <c r="H77" s="33"/>
      <c r="I77" s="177">
        <f t="shared" si="11"/>
        <v>8000</v>
      </c>
      <c r="J77" s="33"/>
      <c r="K77" s="177">
        <f t="shared" si="6"/>
        <v>8000</v>
      </c>
      <c r="L77" s="33"/>
      <c r="M77" s="177">
        <f t="shared" si="7"/>
        <v>8000</v>
      </c>
      <c r="N77" s="33"/>
      <c r="O77" s="177">
        <f t="shared" si="8"/>
        <v>8000</v>
      </c>
      <c r="P77" s="33"/>
      <c r="Q77" s="168">
        <f t="shared" si="9"/>
        <v>8000</v>
      </c>
    </row>
    <row r="78" spans="1:17" s="19" customFormat="1" ht="20.25" customHeight="1" hidden="1">
      <c r="A78" s="24" t="s">
        <v>41</v>
      </c>
      <c r="B78" s="72"/>
      <c r="C78" s="72">
        <v>244</v>
      </c>
      <c r="D78" s="73" t="s">
        <v>42</v>
      </c>
      <c r="E78" s="79">
        <f>21000-8700+700</f>
        <v>13000</v>
      </c>
      <c r="F78" s="33"/>
      <c r="G78" s="177">
        <f t="shared" si="10"/>
        <v>13000</v>
      </c>
      <c r="H78" s="33"/>
      <c r="I78" s="177">
        <f t="shared" si="11"/>
        <v>13000</v>
      </c>
      <c r="J78" s="33"/>
      <c r="K78" s="177">
        <f t="shared" si="6"/>
        <v>13000</v>
      </c>
      <c r="L78" s="33"/>
      <c r="M78" s="177">
        <f t="shared" si="7"/>
        <v>13000</v>
      </c>
      <c r="N78" s="33"/>
      <c r="O78" s="177">
        <f t="shared" si="8"/>
        <v>13000</v>
      </c>
      <c r="P78" s="33"/>
      <c r="Q78" s="168">
        <f t="shared" si="9"/>
        <v>13000</v>
      </c>
    </row>
    <row r="79" spans="1:17" s="19" customFormat="1" ht="12.75">
      <c r="A79" s="341" t="s">
        <v>122</v>
      </c>
      <c r="B79" s="341"/>
      <c r="C79" s="341"/>
      <c r="D79" s="341"/>
      <c r="E79" s="338"/>
      <c r="F79" s="33"/>
      <c r="G79" s="177">
        <f t="shared" si="10"/>
        <v>0</v>
      </c>
      <c r="H79" s="33"/>
      <c r="I79" s="177">
        <f t="shared" si="11"/>
        <v>0</v>
      </c>
      <c r="J79" s="33"/>
      <c r="K79" s="177">
        <f t="shared" si="6"/>
        <v>0</v>
      </c>
      <c r="L79" s="33"/>
      <c r="M79" s="177">
        <f t="shared" si="7"/>
        <v>0</v>
      </c>
      <c r="N79" s="33"/>
      <c r="O79" s="177">
        <f t="shared" si="8"/>
        <v>0</v>
      </c>
      <c r="P79" s="33"/>
      <c r="Q79" s="168">
        <f t="shared" si="9"/>
        <v>0</v>
      </c>
    </row>
    <row r="80" spans="1:17" s="19" customFormat="1" ht="15.75">
      <c r="A80" s="28" t="s">
        <v>29</v>
      </c>
      <c r="B80" s="24"/>
      <c r="C80" s="72"/>
      <c r="D80" s="73"/>
      <c r="E80" s="80">
        <f>SUM(E81:E83)</f>
        <v>3624500</v>
      </c>
      <c r="F80" s="33"/>
      <c r="G80" s="177">
        <f t="shared" si="10"/>
        <v>3624500</v>
      </c>
      <c r="H80" s="33"/>
      <c r="I80" s="177">
        <f t="shared" si="11"/>
        <v>3624500</v>
      </c>
      <c r="J80" s="33"/>
      <c r="K80" s="177">
        <f t="shared" si="6"/>
        <v>3624500</v>
      </c>
      <c r="L80" s="33"/>
      <c r="M80" s="177">
        <f t="shared" si="7"/>
        <v>3624500</v>
      </c>
      <c r="N80" s="33"/>
      <c r="O80" s="177">
        <f t="shared" si="8"/>
        <v>3624500</v>
      </c>
      <c r="P80" s="33">
        <f>P81+P83</f>
        <v>89804</v>
      </c>
      <c r="Q80" s="168">
        <f t="shared" si="9"/>
        <v>3714304</v>
      </c>
    </row>
    <row r="81" spans="1:17" s="19" customFormat="1" ht="13.5" customHeight="1">
      <c r="A81" s="24" t="s">
        <v>15</v>
      </c>
      <c r="B81" s="24"/>
      <c r="C81" s="72">
        <v>111</v>
      </c>
      <c r="D81" s="73">
        <v>211</v>
      </c>
      <c r="E81" s="79">
        <v>2783800</v>
      </c>
      <c r="F81" s="33"/>
      <c r="G81" s="177">
        <f t="shared" si="10"/>
        <v>2783800</v>
      </c>
      <c r="H81" s="33"/>
      <c r="I81" s="177">
        <f t="shared" si="11"/>
        <v>2783800</v>
      </c>
      <c r="J81" s="33"/>
      <c r="K81" s="177">
        <f t="shared" si="6"/>
        <v>2783800</v>
      </c>
      <c r="L81" s="33"/>
      <c r="M81" s="177">
        <f t="shared" si="7"/>
        <v>2783800</v>
      </c>
      <c r="N81" s="33"/>
      <c r="O81" s="177">
        <f t="shared" si="8"/>
        <v>2783800</v>
      </c>
      <c r="P81" s="33">
        <v>48423</v>
      </c>
      <c r="Q81" s="168">
        <f t="shared" si="9"/>
        <v>2832223</v>
      </c>
    </row>
    <row r="82" spans="1:17" s="19" customFormat="1" ht="13.5" customHeight="1" hidden="1">
      <c r="A82" s="24" t="s">
        <v>16</v>
      </c>
      <c r="B82" s="24"/>
      <c r="C82" s="72">
        <v>112</v>
      </c>
      <c r="D82" s="73">
        <v>212</v>
      </c>
      <c r="E82" s="79"/>
      <c r="F82" s="33"/>
      <c r="G82" s="177">
        <f t="shared" si="10"/>
        <v>0</v>
      </c>
      <c r="H82" s="33"/>
      <c r="I82" s="177">
        <f t="shared" si="11"/>
        <v>0</v>
      </c>
      <c r="J82" s="33"/>
      <c r="K82" s="177">
        <f t="shared" si="6"/>
        <v>0</v>
      </c>
      <c r="L82" s="33"/>
      <c r="M82" s="177">
        <f t="shared" si="7"/>
        <v>0</v>
      </c>
      <c r="N82" s="33"/>
      <c r="O82" s="177">
        <f t="shared" si="8"/>
        <v>0</v>
      </c>
      <c r="P82" s="33"/>
      <c r="Q82" s="168">
        <f t="shared" si="9"/>
        <v>0</v>
      </c>
    </row>
    <row r="83" spans="1:17" s="19" customFormat="1" ht="13.5" customHeight="1">
      <c r="A83" s="24" t="s">
        <v>17</v>
      </c>
      <c r="B83" s="24"/>
      <c r="C83" s="72">
        <v>119</v>
      </c>
      <c r="D83" s="73">
        <v>213</v>
      </c>
      <c r="E83" s="79">
        <v>840700</v>
      </c>
      <c r="F83" s="33"/>
      <c r="G83" s="177">
        <f t="shared" si="10"/>
        <v>840700</v>
      </c>
      <c r="H83" s="33"/>
      <c r="I83" s="177">
        <f t="shared" si="11"/>
        <v>840700</v>
      </c>
      <c r="J83" s="33"/>
      <c r="K83" s="177">
        <f t="shared" si="6"/>
        <v>840700</v>
      </c>
      <c r="L83" s="33"/>
      <c r="M83" s="177">
        <f t="shared" si="7"/>
        <v>840700</v>
      </c>
      <c r="N83" s="33"/>
      <c r="O83" s="177">
        <f t="shared" si="8"/>
        <v>840700</v>
      </c>
      <c r="P83" s="33">
        <v>41381</v>
      </c>
      <c r="Q83" s="168">
        <f t="shared" si="9"/>
        <v>882081</v>
      </c>
    </row>
    <row r="84" spans="1:17" s="19" customFormat="1" ht="13.5" customHeight="1">
      <c r="A84" s="341" t="s">
        <v>121</v>
      </c>
      <c r="B84" s="341"/>
      <c r="C84" s="341"/>
      <c r="D84" s="341"/>
      <c r="E84" s="338"/>
      <c r="F84" s="33"/>
      <c r="G84" s="177">
        <f t="shared" si="10"/>
        <v>0</v>
      </c>
      <c r="H84" s="33"/>
      <c r="I84" s="177">
        <f t="shared" si="11"/>
        <v>0</v>
      </c>
      <c r="J84" s="33"/>
      <c r="K84" s="177">
        <f t="shared" si="6"/>
        <v>0</v>
      </c>
      <c r="L84" s="33"/>
      <c r="M84" s="177">
        <f t="shared" si="7"/>
        <v>0</v>
      </c>
      <c r="N84" s="33"/>
      <c r="O84" s="177">
        <f t="shared" si="8"/>
        <v>0</v>
      </c>
      <c r="P84" s="33"/>
      <c r="Q84" s="168">
        <f t="shared" si="9"/>
        <v>0</v>
      </c>
    </row>
    <row r="85" spans="1:17" s="19" customFormat="1" ht="13.5" customHeight="1">
      <c r="A85" s="44" t="s">
        <v>43</v>
      </c>
      <c r="B85" s="43"/>
      <c r="C85" s="73"/>
      <c r="D85" s="73"/>
      <c r="E85" s="85">
        <f>E88+E92+E93+E100+E103+E104</f>
        <v>566800</v>
      </c>
      <c r="F85" s="33"/>
      <c r="G85" s="177">
        <f t="shared" si="10"/>
        <v>566800</v>
      </c>
      <c r="H85" s="33"/>
      <c r="I85" s="177">
        <f t="shared" si="11"/>
        <v>566800</v>
      </c>
      <c r="J85" s="33"/>
      <c r="K85" s="177">
        <f t="shared" si="6"/>
        <v>566800</v>
      </c>
      <c r="L85" s="33"/>
      <c r="M85" s="177">
        <f t="shared" si="7"/>
        <v>566800</v>
      </c>
      <c r="N85" s="33"/>
      <c r="O85" s="177">
        <f t="shared" si="8"/>
        <v>566800</v>
      </c>
      <c r="P85" s="33"/>
      <c r="Q85" s="168">
        <f t="shared" si="9"/>
        <v>566800</v>
      </c>
    </row>
    <row r="86" spans="1:17" s="19" customFormat="1" ht="14.25" customHeight="1" hidden="1">
      <c r="A86" s="24" t="s">
        <v>18</v>
      </c>
      <c r="B86" s="24"/>
      <c r="C86" s="72"/>
      <c r="D86" s="73">
        <v>221</v>
      </c>
      <c r="E86" s="79"/>
      <c r="F86" s="33"/>
      <c r="G86" s="177">
        <f t="shared" si="10"/>
        <v>0</v>
      </c>
      <c r="H86" s="33"/>
      <c r="I86" s="177">
        <f t="shared" si="11"/>
        <v>0</v>
      </c>
      <c r="J86" s="33"/>
      <c r="K86" s="177">
        <f t="shared" si="6"/>
        <v>0</v>
      </c>
      <c r="L86" s="33"/>
      <c r="M86" s="177">
        <f t="shared" si="7"/>
        <v>0</v>
      </c>
      <c r="N86" s="33"/>
      <c r="O86" s="177">
        <f t="shared" si="8"/>
        <v>0</v>
      </c>
      <c r="P86" s="33"/>
      <c r="Q86" s="168">
        <f t="shared" si="9"/>
        <v>0</v>
      </c>
    </row>
    <row r="87" spans="1:17" s="19" customFormat="1" ht="14.25" customHeight="1" hidden="1">
      <c r="A87" s="24" t="s">
        <v>19</v>
      </c>
      <c r="B87" s="24"/>
      <c r="C87" s="72"/>
      <c r="D87" s="73">
        <v>222</v>
      </c>
      <c r="E87" s="79"/>
      <c r="F87" s="33"/>
      <c r="G87" s="177">
        <f t="shared" si="10"/>
        <v>0</v>
      </c>
      <c r="H87" s="33"/>
      <c r="I87" s="177">
        <f t="shared" si="11"/>
        <v>0</v>
      </c>
      <c r="J87" s="33"/>
      <c r="K87" s="177">
        <f t="shared" si="6"/>
        <v>0</v>
      </c>
      <c r="L87" s="33"/>
      <c r="M87" s="177">
        <f t="shared" si="7"/>
        <v>0</v>
      </c>
      <c r="N87" s="33"/>
      <c r="O87" s="177">
        <f t="shared" si="8"/>
        <v>0</v>
      </c>
      <c r="P87" s="33"/>
      <c r="Q87" s="168">
        <f t="shared" si="9"/>
        <v>0</v>
      </c>
    </row>
    <row r="88" spans="1:17" s="19" customFormat="1" ht="14.25" customHeight="1">
      <c r="A88" s="24" t="s">
        <v>20</v>
      </c>
      <c r="B88" s="24"/>
      <c r="C88" s="72">
        <v>244</v>
      </c>
      <c r="D88" s="73">
        <v>223</v>
      </c>
      <c r="E88" s="79">
        <f>E90+E89</f>
        <v>325600</v>
      </c>
      <c r="F88" s="33"/>
      <c r="G88" s="177">
        <f t="shared" si="10"/>
        <v>325600</v>
      </c>
      <c r="H88" s="33"/>
      <c r="I88" s="177">
        <f t="shared" si="11"/>
        <v>325600</v>
      </c>
      <c r="J88" s="33"/>
      <c r="K88" s="177">
        <f t="shared" si="6"/>
        <v>325600</v>
      </c>
      <c r="L88" s="33"/>
      <c r="M88" s="177">
        <f t="shared" si="7"/>
        <v>325600</v>
      </c>
      <c r="N88" s="33"/>
      <c r="O88" s="177">
        <f t="shared" si="8"/>
        <v>325600</v>
      </c>
      <c r="P88" s="33"/>
      <c r="Q88" s="168">
        <f t="shared" si="9"/>
        <v>325600</v>
      </c>
    </row>
    <row r="89" spans="1:17" s="19" customFormat="1" ht="14.25" customHeight="1">
      <c r="A89" s="24"/>
      <c r="B89" s="24"/>
      <c r="C89" s="72">
        <v>244</v>
      </c>
      <c r="D89" s="73" t="s">
        <v>30</v>
      </c>
      <c r="E89" s="79">
        <v>195700</v>
      </c>
      <c r="F89" s="33"/>
      <c r="G89" s="177">
        <f t="shared" si="10"/>
        <v>195700</v>
      </c>
      <c r="H89" s="33"/>
      <c r="I89" s="177">
        <f t="shared" si="11"/>
        <v>195700</v>
      </c>
      <c r="J89" s="33"/>
      <c r="K89" s="177">
        <f t="shared" si="6"/>
        <v>195700</v>
      </c>
      <c r="L89" s="33"/>
      <c r="M89" s="177">
        <f t="shared" si="7"/>
        <v>195700</v>
      </c>
      <c r="N89" s="33"/>
      <c r="O89" s="177">
        <f t="shared" si="8"/>
        <v>195700</v>
      </c>
      <c r="P89" s="33"/>
      <c r="Q89" s="168">
        <f t="shared" si="9"/>
        <v>195700</v>
      </c>
    </row>
    <row r="90" spans="1:17" s="19" customFormat="1" ht="14.25" customHeight="1">
      <c r="A90" s="24"/>
      <c r="B90" s="24"/>
      <c r="C90" s="72">
        <v>244</v>
      </c>
      <c r="D90" s="73" t="s">
        <v>31</v>
      </c>
      <c r="E90" s="79">
        <v>129900</v>
      </c>
      <c r="F90" s="33"/>
      <c r="G90" s="177">
        <f t="shared" si="10"/>
        <v>129900</v>
      </c>
      <c r="H90" s="33"/>
      <c r="I90" s="177">
        <f t="shared" si="11"/>
        <v>129900</v>
      </c>
      <c r="J90" s="33"/>
      <c r="K90" s="177">
        <f t="shared" si="6"/>
        <v>129900</v>
      </c>
      <c r="L90" s="33"/>
      <c r="M90" s="177">
        <f t="shared" si="7"/>
        <v>129900</v>
      </c>
      <c r="N90" s="33"/>
      <c r="O90" s="177">
        <f t="shared" si="8"/>
        <v>129900</v>
      </c>
      <c r="P90" s="33"/>
      <c r="Q90" s="168">
        <f t="shared" si="9"/>
        <v>129900</v>
      </c>
    </row>
    <row r="91" spans="1:17" s="19" customFormat="1" ht="14.25" customHeight="1" hidden="1">
      <c r="A91" s="24" t="s">
        <v>21</v>
      </c>
      <c r="B91" s="24"/>
      <c r="C91" s="72"/>
      <c r="D91" s="73">
        <v>224</v>
      </c>
      <c r="E91" s="79"/>
      <c r="F91" s="33"/>
      <c r="G91" s="177">
        <f t="shared" si="10"/>
        <v>0</v>
      </c>
      <c r="H91" s="33"/>
      <c r="I91" s="177">
        <f t="shared" si="11"/>
        <v>0</v>
      </c>
      <c r="J91" s="33"/>
      <c r="K91" s="177">
        <f t="shared" si="6"/>
        <v>0</v>
      </c>
      <c r="L91" s="33"/>
      <c r="M91" s="177">
        <f t="shared" si="7"/>
        <v>0</v>
      </c>
      <c r="N91" s="33"/>
      <c r="O91" s="177">
        <f t="shared" si="8"/>
        <v>0</v>
      </c>
      <c r="P91" s="33"/>
      <c r="Q91" s="168">
        <f t="shared" si="9"/>
        <v>0</v>
      </c>
    </row>
    <row r="92" spans="1:17" s="19" customFormat="1" ht="14.25" customHeight="1">
      <c r="A92" s="24" t="s">
        <v>22</v>
      </c>
      <c r="B92" s="24"/>
      <c r="C92" s="72">
        <v>244</v>
      </c>
      <c r="D92" s="73">
        <v>225</v>
      </c>
      <c r="E92" s="79">
        <v>83400</v>
      </c>
      <c r="F92" s="33"/>
      <c r="G92" s="177">
        <f t="shared" si="10"/>
        <v>83400</v>
      </c>
      <c r="H92" s="33"/>
      <c r="I92" s="177">
        <f t="shared" si="11"/>
        <v>83400</v>
      </c>
      <c r="J92" s="33"/>
      <c r="K92" s="177">
        <f t="shared" si="6"/>
        <v>83400</v>
      </c>
      <c r="L92" s="33"/>
      <c r="M92" s="177">
        <f t="shared" si="7"/>
        <v>83400</v>
      </c>
      <c r="N92" s="33"/>
      <c r="O92" s="177">
        <f t="shared" si="8"/>
        <v>83400</v>
      </c>
      <c r="P92" s="33"/>
      <c r="Q92" s="168">
        <f t="shared" si="9"/>
        <v>83400</v>
      </c>
    </row>
    <row r="93" spans="1:17" s="19" customFormat="1" ht="14.25" customHeight="1" hidden="1">
      <c r="A93" s="24" t="s">
        <v>23</v>
      </c>
      <c r="B93" s="24"/>
      <c r="C93" s="72">
        <v>242</v>
      </c>
      <c r="D93" s="73">
        <v>226</v>
      </c>
      <c r="E93" s="79"/>
      <c r="F93" s="33"/>
      <c r="G93" s="177">
        <f t="shared" si="10"/>
        <v>0</v>
      </c>
      <c r="H93" s="33"/>
      <c r="I93" s="177">
        <f t="shared" si="11"/>
        <v>0</v>
      </c>
      <c r="J93" s="33"/>
      <c r="K93" s="177">
        <f t="shared" si="6"/>
        <v>0</v>
      </c>
      <c r="L93" s="33"/>
      <c r="M93" s="177">
        <f t="shared" si="7"/>
        <v>0</v>
      </c>
      <c r="N93" s="33"/>
      <c r="O93" s="177">
        <f t="shared" si="8"/>
        <v>0</v>
      </c>
      <c r="P93" s="33"/>
      <c r="Q93" s="168">
        <f t="shared" si="9"/>
        <v>0</v>
      </c>
    </row>
    <row r="94" spans="1:17" s="19" customFormat="1" ht="14.25" customHeight="1" hidden="1">
      <c r="A94" s="24" t="s">
        <v>24</v>
      </c>
      <c r="B94" s="24"/>
      <c r="C94" s="72"/>
      <c r="D94" s="73">
        <v>240</v>
      </c>
      <c r="E94" s="79"/>
      <c r="F94" s="33"/>
      <c r="G94" s="177">
        <f t="shared" si="10"/>
        <v>0</v>
      </c>
      <c r="H94" s="33"/>
      <c r="I94" s="177">
        <f t="shared" si="11"/>
        <v>0</v>
      </c>
      <c r="J94" s="33"/>
      <c r="K94" s="177">
        <f t="shared" si="6"/>
        <v>0</v>
      </c>
      <c r="L94" s="33"/>
      <c r="M94" s="177">
        <f t="shared" si="7"/>
        <v>0</v>
      </c>
      <c r="N94" s="33"/>
      <c r="O94" s="177">
        <f t="shared" si="8"/>
        <v>0</v>
      </c>
      <c r="P94" s="33"/>
      <c r="Q94" s="168">
        <f t="shared" si="9"/>
        <v>0</v>
      </c>
    </row>
    <row r="95" spans="1:17" s="19" customFormat="1" ht="14.25" customHeight="1" hidden="1">
      <c r="A95" s="24" t="s">
        <v>32</v>
      </c>
      <c r="B95" s="24"/>
      <c r="C95" s="72"/>
      <c r="D95" s="73"/>
      <c r="E95" s="79"/>
      <c r="F95" s="33"/>
      <c r="G95" s="177">
        <f t="shared" si="10"/>
        <v>0</v>
      </c>
      <c r="H95" s="33"/>
      <c r="I95" s="177">
        <f t="shared" si="11"/>
        <v>0</v>
      </c>
      <c r="J95" s="33"/>
      <c r="K95" s="177">
        <f t="shared" si="6"/>
        <v>0</v>
      </c>
      <c r="L95" s="33"/>
      <c r="M95" s="177">
        <f t="shared" si="7"/>
        <v>0</v>
      </c>
      <c r="N95" s="33"/>
      <c r="O95" s="177">
        <f t="shared" si="8"/>
        <v>0</v>
      </c>
      <c r="P95" s="33"/>
      <c r="Q95" s="168">
        <f t="shared" si="9"/>
        <v>0</v>
      </c>
    </row>
    <row r="96" spans="1:17" s="19" customFormat="1" ht="14.25" customHeight="1" hidden="1">
      <c r="A96" s="24" t="s">
        <v>33</v>
      </c>
      <c r="B96" s="24"/>
      <c r="C96" s="72"/>
      <c r="D96" s="73">
        <v>241</v>
      </c>
      <c r="E96" s="79"/>
      <c r="F96" s="33"/>
      <c r="G96" s="177">
        <f t="shared" si="10"/>
        <v>0</v>
      </c>
      <c r="H96" s="33"/>
      <c r="I96" s="177">
        <f t="shared" si="11"/>
        <v>0</v>
      </c>
      <c r="J96" s="33"/>
      <c r="K96" s="177">
        <f t="shared" si="6"/>
        <v>0</v>
      </c>
      <c r="L96" s="33"/>
      <c r="M96" s="177">
        <f t="shared" si="7"/>
        <v>0</v>
      </c>
      <c r="N96" s="33"/>
      <c r="O96" s="177">
        <f t="shared" si="8"/>
        <v>0</v>
      </c>
      <c r="P96" s="33"/>
      <c r="Q96" s="168">
        <f t="shared" si="9"/>
        <v>0</v>
      </c>
    </row>
    <row r="97" spans="1:17" s="19" customFormat="1" ht="14.25" customHeight="1" hidden="1">
      <c r="A97" s="24" t="s">
        <v>25</v>
      </c>
      <c r="B97" s="24"/>
      <c r="C97" s="72"/>
      <c r="D97" s="73">
        <v>260</v>
      </c>
      <c r="E97" s="79"/>
      <c r="F97" s="33"/>
      <c r="G97" s="177">
        <f t="shared" si="10"/>
        <v>0</v>
      </c>
      <c r="H97" s="33"/>
      <c r="I97" s="177">
        <f t="shared" si="11"/>
        <v>0</v>
      </c>
      <c r="J97" s="33"/>
      <c r="K97" s="177">
        <f t="shared" si="6"/>
        <v>0</v>
      </c>
      <c r="L97" s="33"/>
      <c r="M97" s="177">
        <f t="shared" si="7"/>
        <v>0</v>
      </c>
      <c r="N97" s="33"/>
      <c r="O97" s="177">
        <f t="shared" si="8"/>
        <v>0</v>
      </c>
      <c r="P97" s="33"/>
      <c r="Q97" s="168">
        <f t="shared" si="9"/>
        <v>0</v>
      </c>
    </row>
    <row r="98" spans="1:17" s="19" customFormat="1" ht="14.25" customHeight="1" hidden="1">
      <c r="A98" s="24" t="s">
        <v>32</v>
      </c>
      <c r="B98" s="24"/>
      <c r="C98" s="72"/>
      <c r="D98" s="73"/>
      <c r="E98" s="79"/>
      <c r="F98" s="33"/>
      <c r="G98" s="177">
        <f t="shared" si="10"/>
        <v>0</v>
      </c>
      <c r="H98" s="33"/>
      <c r="I98" s="177">
        <f t="shared" si="11"/>
        <v>0</v>
      </c>
      <c r="J98" s="33"/>
      <c r="K98" s="177">
        <f t="shared" si="6"/>
        <v>0</v>
      </c>
      <c r="L98" s="33"/>
      <c r="M98" s="177">
        <f t="shared" si="7"/>
        <v>0</v>
      </c>
      <c r="N98" s="33"/>
      <c r="O98" s="177">
        <f t="shared" si="8"/>
        <v>0</v>
      </c>
      <c r="P98" s="33"/>
      <c r="Q98" s="168">
        <f t="shared" si="9"/>
        <v>0</v>
      </c>
    </row>
    <row r="99" spans="1:17" s="19" customFormat="1" ht="14.25" customHeight="1" hidden="1">
      <c r="A99" s="24" t="s">
        <v>34</v>
      </c>
      <c r="B99" s="24"/>
      <c r="C99" s="72"/>
      <c r="D99" s="73">
        <v>262</v>
      </c>
      <c r="E99" s="79"/>
      <c r="F99" s="33"/>
      <c r="G99" s="177">
        <f t="shared" si="10"/>
        <v>0</v>
      </c>
      <c r="H99" s="33"/>
      <c r="I99" s="177">
        <f t="shared" si="11"/>
        <v>0</v>
      </c>
      <c r="J99" s="33"/>
      <c r="K99" s="177">
        <f t="shared" si="6"/>
        <v>0</v>
      </c>
      <c r="L99" s="33"/>
      <c r="M99" s="177">
        <f t="shared" si="7"/>
        <v>0</v>
      </c>
      <c r="N99" s="33"/>
      <c r="O99" s="177">
        <f t="shared" si="8"/>
        <v>0</v>
      </c>
      <c r="P99" s="33"/>
      <c r="Q99" s="168">
        <f t="shared" si="9"/>
        <v>0</v>
      </c>
    </row>
    <row r="100" spans="1:17" s="19" customFormat="1" ht="14.25" customHeight="1">
      <c r="A100" s="24" t="s">
        <v>23</v>
      </c>
      <c r="B100" s="24"/>
      <c r="C100" s="72">
        <v>244</v>
      </c>
      <c r="D100" s="73">
        <v>226</v>
      </c>
      <c r="E100" s="79">
        <v>136300</v>
      </c>
      <c r="F100" s="33"/>
      <c r="G100" s="177">
        <f t="shared" si="10"/>
        <v>136300</v>
      </c>
      <c r="H100" s="33"/>
      <c r="I100" s="177">
        <f t="shared" si="11"/>
        <v>136300</v>
      </c>
      <c r="J100" s="33"/>
      <c r="K100" s="177">
        <f t="shared" si="6"/>
        <v>136300</v>
      </c>
      <c r="L100" s="33"/>
      <c r="M100" s="177">
        <f t="shared" si="7"/>
        <v>136300</v>
      </c>
      <c r="N100" s="33"/>
      <c r="O100" s="177">
        <f t="shared" si="8"/>
        <v>136300</v>
      </c>
      <c r="P100" s="33"/>
      <c r="Q100" s="168">
        <f t="shared" si="9"/>
        <v>136300</v>
      </c>
    </row>
    <row r="101" spans="1:17" s="19" customFormat="1" ht="14.25" customHeight="1" hidden="1">
      <c r="A101" s="24" t="s">
        <v>26</v>
      </c>
      <c r="B101" s="24"/>
      <c r="C101" s="72"/>
      <c r="D101" s="73">
        <v>290</v>
      </c>
      <c r="E101" s="79"/>
      <c r="F101" s="33"/>
      <c r="G101" s="177">
        <f t="shared" si="10"/>
        <v>0</v>
      </c>
      <c r="H101" s="33"/>
      <c r="I101" s="177">
        <f t="shared" si="11"/>
        <v>0</v>
      </c>
      <c r="J101" s="33"/>
      <c r="K101" s="177">
        <f t="shared" si="6"/>
        <v>0</v>
      </c>
      <c r="L101" s="33"/>
      <c r="M101" s="177">
        <f t="shared" si="7"/>
        <v>0</v>
      </c>
      <c r="N101" s="33"/>
      <c r="O101" s="177">
        <f t="shared" si="8"/>
        <v>0</v>
      </c>
      <c r="P101" s="33"/>
      <c r="Q101" s="168">
        <f t="shared" si="9"/>
        <v>0</v>
      </c>
    </row>
    <row r="102" spans="1:17" s="19" customFormat="1" ht="14.25" customHeight="1" hidden="1">
      <c r="A102" s="24" t="s">
        <v>27</v>
      </c>
      <c r="B102" s="24"/>
      <c r="C102" s="72"/>
      <c r="D102" s="73">
        <v>310</v>
      </c>
      <c r="E102" s="79"/>
      <c r="F102" s="33"/>
      <c r="G102" s="177">
        <f t="shared" si="10"/>
        <v>0</v>
      </c>
      <c r="H102" s="33"/>
      <c r="I102" s="177">
        <f t="shared" si="11"/>
        <v>0</v>
      </c>
      <c r="J102" s="33"/>
      <c r="K102" s="177">
        <f t="shared" si="6"/>
        <v>0</v>
      </c>
      <c r="L102" s="33"/>
      <c r="M102" s="177">
        <f t="shared" si="7"/>
        <v>0</v>
      </c>
      <c r="N102" s="33"/>
      <c r="O102" s="177">
        <f t="shared" si="8"/>
        <v>0</v>
      </c>
      <c r="P102" s="33"/>
      <c r="Q102" s="168">
        <f t="shared" si="9"/>
        <v>0</v>
      </c>
    </row>
    <row r="103" spans="1:17" s="19" customFormat="1" ht="24.75" customHeight="1" hidden="1">
      <c r="A103" s="24" t="s">
        <v>28</v>
      </c>
      <c r="B103" s="24"/>
      <c r="C103" s="72">
        <v>242</v>
      </c>
      <c r="D103" s="73">
        <v>340</v>
      </c>
      <c r="E103" s="79"/>
      <c r="F103" s="33"/>
      <c r="G103" s="177">
        <f t="shared" si="10"/>
        <v>0</v>
      </c>
      <c r="H103" s="33"/>
      <c r="I103" s="177">
        <f t="shared" si="11"/>
        <v>0</v>
      </c>
      <c r="J103" s="33"/>
      <c r="K103" s="177">
        <f t="shared" si="6"/>
        <v>0</v>
      </c>
      <c r="L103" s="33"/>
      <c r="M103" s="177">
        <f t="shared" si="7"/>
        <v>0</v>
      </c>
      <c r="N103" s="33"/>
      <c r="O103" s="177">
        <f t="shared" si="8"/>
        <v>0</v>
      </c>
      <c r="P103" s="33"/>
      <c r="Q103" s="168">
        <f t="shared" si="9"/>
        <v>0</v>
      </c>
    </row>
    <row r="104" spans="1:17" s="19" customFormat="1" ht="26.25">
      <c r="A104" s="24" t="s">
        <v>28</v>
      </c>
      <c r="B104" s="24"/>
      <c r="C104" s="72">
        <v>244</v>
      </c>
      <c r="D104" s="73">
        <v>340</v>
      </c>
      <c r="E104" s="79">
        <v>21500</v>
      </c>
      <c r="F104" s="33"/>
      <c r="G104" s="177">
        <f t="shared" si="10"/>
        <v>21500</v>
      </c>
      <c r="H104" s="33"/>
      <c r="I104" s="177">
        <f t="shared" si="11"/>
        <v>21500</v>
      </c>
      <c r="J104" s="33"/>
      <c r="K104" s="177">
        <f t="shared" si="6"/>
        <v>21500</v>
      </c>
      <c r="L104" s="33"/>
      <c r="M104" s="177">
        <f t="shared" si="7"/>
        <v>21500</v>
      </c>
      <c r="N104" s="33"/>
      <c r="O104" s="177">
        <f t="shared" si="8"/>
        <v>21500</v>
      </c>
      <c r="P104" s="33"/>
      <c r="Q104" s="168">
        <f t="shared" si="9"/>
        <v>21500</v>
      </c>
    </row>
    <row r="105" spans="1:17" s="19" customFormat="1" ht="14.25" customHeight="1" hidden="1">
      <c r="A105" s="24" t="s">
        <v>37</v>
      </c>
      <c r="B105" s="24"/>
      <c r="C105" s="72"/>
      <c r="D105" s="73" t="s">
        <v>38</v>
      </c>
      <c r="E105" s="79"/>
      <c r="F105" s="33"/>
      <c r="G105" s="177">
        <f t="shared" si="10"/>
        <v>0</v>
      </c>
      <c r="H105" s="33"/>
      <c r="I105" s="177">
        <f t="shared" si="11"/>
        <v>0</v>
      </c>
      <c r="J105" s="33"/>
      <c r="K105" s="177">
        <f t="shared" si="6"/>
        <v>0</v>
      </c>
      <c r="L105" s="33"/>
      <c r="M105" s="177">
        <f t="shared" si="7"/>
        <v>0</v>
      </c>
      <c r="N105" s="33"/>
      <c r="O105" s="177">
        <f t="shared" si="8"/>
        <v>0</v>
      </c>
      <c r="P105" s="33"/>
      <c r="Q105" s="168">
        <f t="shared" si="9"/>
        <v>0</v>
      </c>
    </row>
    <row r="106" spans="1:17" s="19" customFormat="1" ht="14.25" customHeight="1" hidden="1">
      <c r="A106" s="24" t="s">
        <v>41</v>
      </c>
      <c r="B106" s="24"/>
      <c r="C106" s="72">
        <v>242</v>
      </c>
      <c r="D106" s="73" t="s">
        <v>42</v>
      </c>
      <c r="E106" s="79">
        <v>15000</v>
      </c>
      <c r="F106" s="33"/>
      <c r="G106" s="177">
        <f t="shared" si="10"/>
        <v>15000</v>
      </c>
      <c r="H106" s="33"/>
      <c r="I106" s="177">
        <f t="shared" si="11"/>
        <v>15000</v>
      </c>
      <c r="J106" s="33"/>
      <c r="K106" s="177">
        <f t="shared" si="6"/>
        <v>15000</v>
      </c>
      <c r="L106" s="33"/>
      <c r="M106" s="177">
        <f t="shared" si="7"/>
        <v>15000</v>
      </c>
      <c r="N106" s="33"/>
      <c r="O106" s="177">
        <f t="shared" si="8"/>
        <v>15000</v>
      </c>
      <c r="P106" s="33"/>
      <c r="Q106" s="168">
        <f t="shared" si="9"/>
        <v>15000</v>
      </c>
    </row>
    <row r="107" spans="1:17" s="19" customFormat="1" ht="14.25" customHeight="1" hidden="1">
      <c r="A107" s="24" t="s">
        <v>41</v>
      </c>
      <c r="B107" s="24"/>
      <c r="C107" s="72">
        <v>244</v>
      </c>
      <c r="D107" s="73" t="s">
        <v>42</v>
      </c>
      <c r="E107" s="79">
        <v>15000</v>
      </c>
      <c r="F107" s="33"/>
      <c r="G107" s="177">
        <f t="shared" si="10"/>
        <v>15000</v>
      </c>
      <c r="H107" s="33"/>
      <c r="I107" s="177">
        <f t="shared" si="11"/>
        <v>15000</v>
      </c>
      <c r="J107" s="33"/>
      <c r="K107" s="177">
        <f t="shared" si="6"/>
        <v>15000</v>
      </c>
      <c r="L107" s="33"/>
      <c r="M107" s="177">
        <f t="shared" si="7"/>
        <v>15000</v>
      </c>
      <c r="N107" s="33"/>
      <c r="O107" s="177">
        <f t="shared" si="8"/>
        <v>15000</v>
      </c>
      <c r="P107" s="33"/>
      <c r="Q107" s="168">
        <f t="shared" si="9"/>
        <v>15000</v>
      </c>
    </row>
    <row r="108" spans="1:17" s="19" customFormat="1" ht="14.25" customHeight="1">
      <c r="A108" s="45" t="s">
        <v>49</v>
      </c>
      <c r="B108" s="20"/>
      <c r="C108" s="20"/>
      <c r="D108" s="20"/>
      <c r="E108" s="86">
        <f>SUM(E109:E117)</f>
        <v>0</v>
      </c>
      <c r="F108" s="33">
        <f>F114+F117</f>
        <v>16056</v>
      </c>
      <c r="G108" s="177">
        <f t="shared" si="10"/>
        <v>16056</v>
      </c>
      <c r="H108" s="33">
        <f>H151</f>
        <v>5000</v>
      </c>
      <c r="I108" s="177">
        <f t="shared" si="11"/>
        <v>21056</v>
      </c>
      <c r="J108" s="33">
        <f>J113</f>
        <v>2585</v>
      </c>
      <c r="K108" s="177">
        <f t="shared" si="6"/>
        <v>23641</v>
      </c>
      <c r="L108" s="33">
        <f>L128</f>
        <v>5071</v>
      </c>
      <c r="M108" s="177">
        <f t="shared" si="7"/>
        <v>28712</v>
      </c>
      <c r="N108" s="33"/>
      <c r="O108" s="177">
        <f t="shared" si="8"/>
        <v>28712</v>
      </c>
      <c r="P108" s="33"/>
      <c r="Q108" s="168">
        <f t="shared" si="9"/>
        <v>28712</v>
      </c>
    </row>
    <row r="109" spans="1:17" s="19" customFormat="1" ht="14.25" customHeight="1" hidden="1">
      <c r="A109" s="21" t="s">
        <v>18</v>
      </c>
      <c r="B109" s="21"/>
      <c r="C109" s="21"/>
      <c r="D109" s="20">
        <v>221</v>
      </c>
      <c r="E109" s="87"/>
      <c r="F109" s="33"/>
      <c r="G109" s="177">
        <f t="shared" si="10"/>
        <v>0</v>
      </c>
      <c r="H109" s="33"/>
      <c r="I109" s="177">
        <f t="shared" si="11"/>
        <v>0</v>
      </c>
      <c r="J109" s="33"/>
      <c r="K109" s="177">
        <f t="shared" si="6"/>
        <v>0</v>
      </c>
      <c r="L109" s="33"/>
      <c r="M109" s="177">
        <f t="shared" si="7"/>
        <v>0</v>
      </c>
      <c r="N109" s="33"/>
      <c r="O109" s="177">
        <f t="shared" si="8"/>
        <v>0</v>
      </c>
      <c r="P109" s="33"/>
      <c r="Q109" s="168">
        <f t="shared" si="9"/>
        <v>0</v>
      </c>
    </row>
    <row r="110" spans="1:17" s="19" customFormat="1" ht="14.25" customHeight="1" hidden="1">
      <c r="A110" s="21" t="s">
        <v>19</v>
      </c>
      <c r="B110" s="21"/>
      <c r="C110" s="21"/>
      <c r="D110" s="20">
        <v>222</v>
      </c>
      <c r="E110" s="88"/>
      <c r="F110" s="33"/>
      <c r="G110" s="177">
        <f t="shared" si="10"/>
        <v>0</v>
      </c>
      <c r="H110" s="33"/>
      <c r="I110" s="177">
        <f t="shared" si="11"/>
        <v>0</v>
      </c>
      <c r="J110" s="33"/>
      <c r="K110" s="177">
        <f t="shared" si="6"/>
        <v>0</v>
      </c>
      <c r="L110" s="33"/>
      <c r="M110" s="177">
        <f t="shared" si="7"/>
        <v>0</v>
      </c>
      <c r="N110" s="33"/>
      <c r="O110" s="177">
        <f t="shared" si="8"/>
        <v>0</v>
      </c>
      <c r="P110" s="33"/>
      <c r="Q110" s="168">
        <f t="shared" si="9"/>
        <v>0</v>
      </c>
    </row>
    <row r="111" spans="1:17" s="19" customFormat="1" ht="12.75" hidden="1">
      <c r="A111" s="21" t="s">
        <v>20</v>
      </c>
      <c r="B111" s="21"/>
      <c r="C111" s="21"/>
      <c r="D111" s="20">
        <v>223</v>
      </c>
      <c r="E111" s="87"/>
      <c r="F111" s="33"/>
      <c r="G111" s="177">
        <f t="shared" si="10"/>
        <v>0</v>
      </c>
      <c r="H111" s="33"/>
      <c r="I111" s="177">
        <f t="shared" si="11"/>
        <v>0</v>
      </c>
      <c r="J111" s="33"/>
      <c r="K111" s="177">
        <f t="shared" si="6"/>
        <v>0</v>
      </c>
      <c r="L111" s="33"/>
      <c r="M111" s="177">
        <f t="shared" si="7"/>
        <v>0</v>
      </c>
      <c r="N111" s="33"/>
      <c r="O111" s="177">
        <f t="shared" si="8"/>
        <v>0</v>
      </c>
      <c r="P111" s="33"/>
      <c r="Q111" s="168">
        <f t="shared" si="9"/>
        <v>0</v>
      </c>
    </row>
    <row r="112" spans="1:17" s="19" customFormat="1" ht="25.5" hidden="1">
      <c r="A112" s="21" t="s">
        <v>21</v>
      </c>
      <c r="B112" s="21"/>
      <c r="C112" s="21"/>
      <c r="D112" s="20">
        <v>224</v>
      </c>
      <c r="E112" s="87"/>
      <c r="F112" s="33"/>
      <c r="G112" s="177">
        <f t="shared" si="10"/>
        <v>0</v>
      </c>
      <c r="H112" s="33"/>
      <c r="I112" s="177">
        <f t="shared" si="11"/>
        <v>0</v>
      </c>
      <c r="J112" s="33"/>
      <c r="K112" s="177">
        <f t="shared" si="6"/>
        <v>0</v>
      </c>
      <c r="L112" s="33"/>
      <c r="M112" s="177">
        <f t="shared" si="7"/>
        <v>0</v>
      </c>
      <c r="N112" s="33"/>
      <c r="O112" s="177">
        <f t="shared" si="8"/>
        <v>0</v>
      </c>
      <c r="P112" s="33"/>
      <c r="Q112" s="168">
        <f t="shared" si="9"/>
        <v>0</v>
      </c>
    </row>
    <row r="113" spans="1:17" s="19" customFormat="1" ht="25.5">
      <c r="A113" s="21" t="s">
        <v>22</v>
      </c>
      <c r="B113" s="21"/>
      <c r="C113" s="21"/>
      <c r="D113" s="20">
        <v>225</v>
      </c>
      <c r="E113" s="89"/>
      <c r="F113" s="33"/>
      <c r="G113" s="177">
        <f t="shared" si="10"/>
        <v>0</v>
      </c>
      <c r="H113" s="33"/>
      <c r="I113" s="177">
        <f t="shared" si="11"/>
        <v>0</v>
      </c>
      <c r="J113" s="33">
        <f>J129</f>
        <v>2585</v>
      </c>
      <c r="K113" s="177">
        <f t="shared" si="6"/>
        <v>2585</v>
      </c>
      <c r="L113" s="33"/>
      <c r="M113" s="177">
        <f t="shared" si="7"/>
        <v>2585</v>
      </c>
      <c r="N113" s="33"/>
      <c r="O113" s="177">
        <f t="shared" si="8"/>
        <v>2585</v>
      </c>
      <c r="P113" s="33"/>
      <c r="Q113" s="168">
        <f t="shared" si="9"/>
        <v>2585</v>
      </c>
    </row>
    <row r="114" spans="1:17" s="19" customFormat="1" ht="12.75">
      <c r="A114" s="21" t="s">
        <v>23</v>
      </c>
      <c r="B114" s="21"/>
      <c r="C114" s="21"/>
      <c r="D114" s="20">
        <v>226</v>
      </c>
      <c r="E114" s="89"/>
      <c r="F114" s="33">
        <f>F130</f>
        <v>14271</v>
      </c>
      <c r="G114" s="177">
        <f t="shared" si="10"/>
        <v>14271</v>
      </c>
      <c r="H114" s="33"/>
      <c r="I114" s="177">
        <f t="shared" si="11"/>
        <v>14271</v>
      </c>
      <c r="J114" s="33"/>
      <c r="K114" s="177">
        <f t="shared" si="6"/>
        <v>14271</v>
      </c>
      <c r="L114" s="33">
        <f>L130</f>
        <v>5071</v>
      </c>
      <c r="M114" s="177">
        <f t="shared" si="7"/>
        <v>19342</v>
      </c>
      <c r="N114" s="33"/>
      <c r="O114" s="177">
        <f t="shared" si="8"/>
        <v>19342</v>
      </c>
      <c r="P114" s="33"/>
      <c r="Q114" s="168">
        <f t="shared" si="9"/>
        <v>19342</v>
      </c>
    </row>
    <row r="115" spans="1:17" s="19" customFormat="1" ht="14.25" customHeight="1" hidden="1">
      <c r="A115" s="24" t="s">
        <v>26</v>
      </c>
      <c r="B115" s="24"/>
      <c r="C115" s="24"/>
      <c r="D115" s="25">
        <v>290</v>
      </c>
      <c r="E115" s="90"/>
      <c r="F115" s="33"/>
      <c r="G115" s="177">
        <f t="shared" si="10"/>
        <v>0</v>
      </c>
      <c r="H115" s="33"/>
      <c r="I115" s="177">
        <f t="shared" si="11"/>
        <v>0</v>
      </c>
      <c r="J115" s="33"/>
      <c r="K115" s="177">
        <f t="shared" si="6"/>
        <v>0</v>
      </c>
      <c r="L115" s="33"/>
      <c r="M115" s="177">
        <f t="shared" si="7"/>
        <v>0</v>
      </c>
      <c r="N115" s="33"/>
      <c r="O115" s="177">
        <f t="shared" si="8"/>
        <v>0</v>
      </c>
      <c r="P115" s="33"/>
      <c r="Q115" s="168">
        <f t="shared" si="9"/>
        <v>0</v>
      </c>
    </row>
    <row r="116" spans="1:17" s="19" customFormat="1" ht="25.5" hidden="1">
      <c r="A116" s="24" t="s">
        <v>27</v>
      </c>
      <c r="B116" s="24"/>
      <c r="C116" s="24"/>
      <c r="D116" s="25">
        <v>310</v>
      </c>
      <c r="E116" s="90"/>
      <c r="F116" s="33"/>
      <c r="G116" s="177">
        <f t="shared" si="10"/>
        <v>0</v>
      </c>
      <c r="H116" s="33"/>
      <c r="I116" s="177">
        <f t="shared" si="11"/>
        <v>0</v>
      </c>
      <c r="J116" s="33"/>
      <c r="K116" s="177">
        <f t="shared" si="6"/>
        <v>0</v>
      </c>
      <c r="L116" s="33"/>
      <c r="M116" s="177">
        <f t="shared" si="7"/>
        <v>0</v>
      </c>
      <c r="N116" s="33"/>
      <c r="O116" s="177">
        <f t="shared" si="8"/>
        <v>0</v>
      </c>
      <c r="P116" s="33"/>
      <c r="Q116" s="168">
        <f t="shared" si="9"/>
        <v>0</v>
      </c>
    </row>
    <row r="117" spans="1:17" s="19" customFormat="1" ht="25.5">
      <c r="A117" s="24" t="s">
        <v>28</v>
      </c>
      <c r="B117" s="24"/>
      <c r="C117" s="24"/>
      <c r="D117" s="25">
        <v>340</v>
      </c>
      <c r="E117" s="90"/>
      <c r="F117" s="33">
        <f>F131</f>
        <v>1785</v>
      </c>
      <c r="G117" s="177">
        <f t="shared" si="10"/>
        <v>1785</v>
      </c>
      <c r="H117" s="33"/>
      <c r="I117" s="177">
        <f t="shared" si="11"/>
        <v>1785</v>
      </c>
      <c r="J117" s="33"/>
      <c r="K117" s="177">
        <f t="shared" si="6"/>
        <v>1785</v>
      </c>
      <c r="L117" s="33"/>
      <c r="M117" s="177">
        <f t="shared" si="7"/>
        <v>1785</v>
      </c>
      <c r="N117" s="33"/>
      <c r="O117" s="177">
        <f t="shared" si="8"/>
        <v>1785</v>
      </c>
      <c r="P117" s="33"/>
      <c r="Q117" s="168">
        <f t="shared" si="9"/>
        <v>1785</v>
      </c>
    </row>
    <row r="118" spans="1:17" s="19" customFormat="1" ht="14.25" customHeight="1" hidden="1">
      <c r="A118" s="54"/>
      <c r="B118" s="55"/>
      <c r="C118" s="55"/>
      <c r="D118" s="56"/>
      <c r="E118" s="90"/>
      <c r="F118" s="33"/>
      <c r="G118" s="177">
        <f t="shared" si="10"/>
        <v>0</v>
      </c>
      <c r="H118" s="33"/>
      <c r="I118" s="177">
        <f t="shared" si="11"/>
        <v>0</v>
      </c>
      <c r="J118" s="33"/>
      <c r="K118" s="177">
        <f t="shared" si="6"/>
        <v>0</v>
      </c>
      <c r="L118" s="33"/>
      <c r="M118" s="177">
        <f t="shared" si="7"/>
        <v>0</v>
      </c>
      <c r="N118" s="33"/>
      <c r="O118" s="177">
        <f t="shared" si="8"/>
        <v>0</v>
      </c>
      <c r="P118" s="33"/>
      <c r="Q118" s="168">
        <f t="shared" si="9"/>
        <v>0</v>
      </c>
    </row>
    <row r="119" spans="1:17" s="19" customFormat="1" ht="14.25" customHeight="1" hidden="1">
      <c r="A119" s="338" t="s">
        <v>101</v>
      </c>
      <c r="B119" s="339"/>
      <c r="C119" s="339"/>
      <c r="D119" s="339"/>
      <c r="E119" s="90"/>
      <c r="F119" s="33"/>
      <c r="G119" s="177">
        <f t="shared" si="10"/>
        <v>0</v>
      </c>
      <c r="H119" s="33"/>
      <c r="I119" s="177">
        <f t="shared" si="11"/>
        <v>0</v>
      </c>
      <c r="J119" s="33"/>
      <c r="K119" s="177">
        <f t="shared" si="6"/>
        <v>0</v>
      </c>
      <c r="L119" s="33"/>
      <c r="M119" s="177">
        <f t="shared" si="7"/>
        <v>0</v>
      </c>
      <c r="N119" s="33"/>
      <c r="O119" s="177">
        <f t="shared" si="8"/>
        <v>0</v>
      </c>
      <c r="P119" s="33"/>
      <c r="Q119" s="168">
        <f t="shared" si="9"/>
        <v>0</v>
      </c>
    </row>
    <row r="120" spans="1:17" s="19" customFormat="1" ht="14.25" customHeight="1" hidden="1">
      <c r="A120" s="28" t="s">
        <v>29</v>
      </c>
      <c r="B120" s="53"/>
      <c r="C120" s="53"/>
      <c r="D120" s="53"/>
      <c r="E120" s="90"/>
      <c r="F120" s="33"/>
      <c r="G120" s="177">
        <f t="shared" si="10"/>
        <v>0</v>
      </c>
      <c r="H120" s="33"/>
      <c r="I120" s="177">
        <f t="shared" si="11"/>
        <v>0</v>
      </c>
      <c r="J120" s="33"/>
      <c r="K120" s="177">
        <f t="shared" si="6"/>
        <v>0</v>
      </c>
      <c r="L120" s="33"/>
      <c r="M120" s="177">
        <f t="shared" si="7"/>
        <v>0</v>
      </c>
      <c r="N120" s="33"/>
      <c r="O120" s="177">
        <f t="shared" si="8"/>
        <v>0</v>
      </c>
      <c r="P120" s="33"/>
      <c r="Q120" s="168">
        <f t="shared" si="9"/>
        <v>0</v>
      </c>
    </row>
    <row r="121" spans="1:17" s="19" customFormat="1" ht="14.25" customHeight="1" hidden="1">
      <c r="A121" s="24" t="s">
        <v>22</v>
      </c>
      <c r="B121" s="55"/>
      <c r="C121" s="55"/>
      <c r="D121" s="56">
        <v>225</v>
      </c>
      <c r="E121" s="90"/>
      <c r="F121" s="33"/>
      <c r="G121" s="177">
        <f t="shared" si="10"/>
        <v>0</v>
      </c>
      <c r="H121" s="33"/>
      <c r="I121" s="177">
        <f t="shared" si="11"/>
        <v>0</v>
      </c>
      <c r="J121" s="33"/>
      <c r="K121" s="177">
        <f t="shared" si="6"/>
        <v>0</v>
      </c>
      <c r="L121" s="33"/>
      <c r="M121" s="177">
        <f t="shared" si="7"/>
        <v>0</v>
      </c>
      <c r="N121" s="33"/>
      <c r="O121" s="177">
        <f t="shared" si="8"/>
        <v>0</v>
      </c>
      <c r="P121" s="33"/>
      <c r="Q121" s="168">
        <f t="shared" si="9"/>
        <v>0</v>
      </c>
    </row>
    <row r="122" spans="1:17" s="19" customFormat="1" ht="14.25" customHeight="1" hidden="1">
      <c r="A122" s="24" t="s">
        <v>23</v>
      </c>
      <c r="B122" s="55"/>
      <c r="C122" s="55"/>
      <c r="D122" s="56">
        <v>226</v>
      </c>
      <c r="E122" s="90"/>
      <c r="F122" s="33"/>
      <c r="G122" s="177">
        <f t="shared" si="10"/>
        <v>0</v>
      </c>
      <c r="H122" s="33"/>
      <c r="I122" s="177">
        <f t="shared" si="11"/>
        <v>0</v>
      </c>
      <c r="J122" s="33"/>
      <c r="K122" s="177">
        <f t="shared" si="6"/>
        <v>0</v>
      </c>
      <c r="L122" s="33"/>
      <c r="M122" s="177">
        <f t="shared" si="7"/>
        <v>0</v>
      </c>
      <c r="N122" s="33"/>
      <c r="O122" s="177">
        <f t="shared" si="8"/>
        <v>0</v>
      </c>
      <c r="P122" s="33"/>
      <c r="Q122" s="168">
        <f t="shared" si="9"/>
        <v>0</v>
      </c>
    </row>
    <row r="123" spans="1:17" s="19" customFormat="1" ht="14.25" customHeight="1" hidden="1">
      <c r="A123" s="24" t="s">
        <v>26</v>
      </c>
      <c r="B123" s="55"/>
      <c r="C123" s="55"/>
      <c r="D123" s="56"/>
      <c r="E123" s="90"/>
      <c r="F123" s="33"/>
      <c r="G123" s="177">
        <f t="shared" si="10"/>
        <v>0</v>
      </c>
      <c r="H123" s="33"/>
      <c r="I123" s="177">
        <f t="shared" si="11"/>
        <v>0</v>
      </c>
      <c r="J123" s="33"/>
      <c r="K123" s="177">
        <f t="shared" si="6"/>
        <v>0</v>
      </c>
      <c r="L123" s="33"/>
      <c r="M123" s="177">
        <f t="shared" si="7"/>
        <v>0</v>
      </c>
      <c r="N123" s="33"/>
      <c r="O123" s="177">
        <f t="shared" si="8"/>
        <v>0</v>
      </c>
      <c r="P123" s="33"/>
      <c r="Q123" s="168">
        <f t="shared" si="9"/>
        <v>0</v>
      </c>
    </row>
    <row r="124" spans="1:17" s="19" customFormat="1" ht="14.25" customHeight="1" hidden="1">
      <c r="A124" s="54"/>
      <c r="B124" s="55"/>
      <c r="C124" s="55"/>
      <c r="D124" s="60"/>
      <c r="E124" s="90"/>
      <c r="F124" s="33"/>
      <c r="G124" s="177">
        <f t="shared" si="10"/>
        <v>0</v>
      </c>
      <c r="H124" s="33"/>
      <c r="I124" s="177">
        <f t="shared" si="11"/>
        <v>0</v>
      </c>
      <c r="J124" s="33"/>
      <c r="K124" s="177">
        <f t="shared" si="6"/>
        <v>0</v>
      </c>
      <c r="L124" s="33"/>
      <c r="M124" s="177">
        <f t="shared" si="7"/>
        <v>0</v>
      </c>
      <c r="N124" s="33"/>
      <c r="O124" s="177">
        <f t="shared" si="8"/>
        <v>0</v>
      </c>
      <c r="P124" s="33"/>
      <c r="Q124" s="168">
        <f t="shared" si="9"/>
        <v>0</v>
      </c>
    </row>
    <row r="125" spans="1:17" s="19" customFormat="1" ht="14.25" customHeight="1" hidden="1">
      <c r="A125" s="54"/>
      <c r="B125" s="55"/>
      <c r="C125" s="55"/>
      <c r="D125" s="60"/>
      <c r="E125" s="90"/>
      <c r="F125" s="33"/>
      <c r="G125" s="177">
        <f t="shared" si="10"/>
        <v>0</v>
      </c>
      <c r="H125" s="33"/>
      <c r="I125" s="177">
        <f t="shared" si="11"/>
        <v>0</v>
      </c>
      <c r="J125" s="33"/>
      <c r="K125" s="177">
        <f t="shared" si="6"/>
        <v>0</v>
      </c>
      <c r="L125" s="33"/>
      <c r="M125" s="177">
        <f t="shared" si="7"/>
        <v>0</v>
      </c>
      <c r="N125" s="33"/>
      <c r="O125" s="177">
        <f t="shared" si="8"/>
        <v>0</v>
      </c>
      <c r="P125" s="33"/>
      <c r="Q125" s="168">
        <f t="shared" si="9"/>
        <v>0</v>
      </c>
    </row>
    <row r="126" spans="1:17" s="19" customFormat="1" ht="14.25" customHeight="1">
      <c r="A126" s="24" t="s">
        <v>26</v>
      </c>
      <c r="B126" s="24"/>
      <c r="C126" s="24">
        <v>244</v>
      </c>
      <c r="D126" s="25">
        <v>290</v>
      </c>
      <c r="E126" s="90"/>
      <c r="F126" s="33"/>
      <c r="G126" s="177"/>
      <c r="H126" s="33">
        <f>H158</f>
        <v>5000</v>
      </c>
      <c r="I126" s="177"/>
      <c r="J126" s="33"/>
      <c r="K126" s="177">
        <f t="shared" si="6"/>
        <v>0</v>
      </c>
      <c r="L126" s="33"/>
      <c r="M126" s="177">
        <f t="shared" si="7"/>
        <v>0</v>
      </c>
      <c r="N126" s="33"/>
      <c r="O126" s="177">
        <f t="shared" si="8"/>
        <v>0</v>
      </c>
      <c r="P126" s="33"/>
      <c r="Q126" s="168">
        <f t="shared" si="9"/>
        <v>0</v>
      </c>
    </row>
    <row r="127" spans="1:17" s="19" customFormat="1" ht="14.25" customHeight="1">
      <c r="A127" s="338" t="s">
        <v>110</v>
      </c>
      <c r="B127" s="339"/>
      <c r="C127" s="339"/>
      <c r="D127" s="340"/>
      <c r="E127" s="90"/>
      <c r="F127" s="33"/>
      <c r="G127" s="177">
        <f t="shared" si="10"/>
        <v>0</v>
      </c>
      <c r="H127" s="33"/>
      <c r="I127" s="177">
        <f t="shared" si="11"/>
        <v>0</v>
      </c>
      <c r="J127" s="33"/>
      <c r="K127" s="177">
        <f t="shared" si="6"/>
        <v>0</v>
      </c>
      <c r="L127" s="33"/>
      <c r="M127" s="177">
        <f t="shared" si="7"/>
        <v>0</v>
      </c>
      <c r="N127" s="33"/>
      <c r="O127" s="177">
        <f t="shared" si="8"/>
        <v>0</v>
      </c>
      <c r="P127" s="33"/>
      <c r="Q127" s="168">
        <f t="shared" si="9"/>
        <v>0</v>
      </c>
    </row>
    <row r="128" spans="1:17" s="19" customFormat="1" ht="14.25" customHeight="1">
      <c r="A128" s="28" t="s">
        <v>29</v>
      </c>
      <c r="B128" s="24"/>
      <c r="C128" s="24"/>
      <c r="D128" s="25"/>
      <c r="E128" s="90"/>
      <c r="F128" s="33">
        <f>F130+F131</f>
        <v>16056</v>
      </c>
      <c r="G128" s="177">
        <f t="shared" si="10"/>
        <v>16056</v>
      </c>
      <c r="H128" s="33"/>
      <c r="I128" s="177">
        <f t="shared" si="11"/>
        <v>16056</v>
      </c>
      <c r="J128" s="33">
        <f>J129</f>
        <v>2585</v>
      </c>
      <c r="K128" s="177">
        <f t="shared" si="6"/>
        <v>18641</v>
      </c>
      <c r="L128" s="33">
        <f>L130</f>
        <v>5071</v>
      </c>
      <c r="M128" s="177">
        <f t="shared" si="7"/>
        <v>23712</v>
      </c>
      <c r="N128" s="33"/>
      <c r="O128" s="177">
        <f t="shared" si="8"/>
        <v>23712</v>
      </c>
      <c r="P128" s="33"/>
      <c r="Q128" s="168">
        <f t="shared" si="9"/>
        <v>23712</v>
      </c>
    </row>
    <row r="129" spans="1:17" s="19" customFormat="1" ht="27" customHeight="1">
      <c r="A129" s="24" t="s">
        <v>22</v>
      </c>
      <c r="B129" s="24"/>
      <c r="C129" s="24">
        <v>244</v>
      </c>
      <c r="D129" s="25">
        <v>225</v>
      </c>
      <c r="E129" s="90"/>
      <c r="F129" s="33"/>
      <c r="G129" s="177"/>
      <c r="H129" s="33"/>
      <c r="I129" s="177"/>
      <c r="J129" s="33">
        <v>2585</v>
      </c>
      <c r="K129" s="177">
        <f t="shared" si="6"/>
        <v>2585</v>
      </c>
      <c r="L129" s="33"/>
      <c r="M129" s="177">
        <f t="shared" si="7"/>
        <v>2585</v>
      </c>
      <c r="N129" s="33"/>
      <c r="O129" s="177">
        <f t="shared" si="8"/>
        <v>2585</v>
      </c>
      <c r="P129" s="33"/>
      <c r="Q129" s="168">
        <f t="shared" si="9"/>
        <v>2585</v>
      </c>
    </row>
    <row r="130" spans="1:17" s="19" customFormat="1" ht="14.25" customHeight="1">
      <c r="A130" s="21" t="s">
        <v>23</v>
      </c>
      <c r="B130" s="21"/>
      <c r="C130" s="21">
        <v>244</v>
      </c>
      <c r="D130" s="20">
        <v>226</v>
      </c>
      <c r="E130" s="90"/>
      <c r="F130" s="33">
        <v>14271</v>
      </c>
      <c r="G130" s="177">
        <f t="shared" si="10"/>
        <v>14271</v>
      </c>
      <c r="H130" s="33"/>
      <c r="I130" s="177">
        <f t="shared" si="11"/>
        <v>14271</v>
      </c>
      <c r="J130" s="33"/>
      <c r="K130" s="177">
        <f t="shared" si="6"/>
        <v>14271</v>
      </c>
      <c r="L130" s="33">
        <v>5071</v>
      </c>
      <c r="M130" s="177">
        <f t="shared" si="7"/>
        <v>19342</v>
      </c>
      <c r="N130" s="33"/>
      <c r="O130" s="177">
        <f t="shared" si="8"/>
        <v>19342</v>
      </c>
      <c r="P130" s="33"/>
      <c r="Q130" s="168">
        <f t="shared" si="9"/>
        <v>19342</v>
      </c>
    </row>
    <row r="131" spans="1:17" s="19" customFormat="1" ht="14.25" customHeight="1">
      <c r="A131" s="24" t="s">
        <v>28</v>
      </c>
      <c r="B131" s="24"/>
      <c r="C131" s="24">
        <v>244</v>
      </c>
      <c r="D131" s="25">
        <v>340</v>
      </c>
      <c r="E131" s="90"/>
      <c r="F131" s="33">
        <v>1785</v>
      </c>
      <c r="G131" s="177">
        <f t="shared" si="10"/>
        <v>1785</v>
      </c>
      <c r="H131" s="33"/>
      <c r="I131" s="177">
        <f t="shared" si="11"/>
        <v>1785</v>
      </c>
      <c r="J131" s="33"/>
      <c r="K131" s="177">
        <f t="shared" si="6"/>
        <v>1785</v>
      </c>
      <c r="L131" s="33"/>
      <c r="M131" s="177">
        <f t="shared" si="7"/>
        <v>1785</v>
      </c>
      <c r="N131" s="33"/>
      <c r="O131" s="177">
        <f t="shared" si="8"/>
        <v>1785</v>
      </c>
      <c r="P131" s="33"/>
      <c r="Q131" s="168">
        <f t="shared" si="9"/>
        <v>1785</v>
      </c>
    </row>
    <row r="132" spans="1:17" s="19" customFormat="1" ht="14.25" customHeight="1" hidden="1">
      <c r="A132" s="338" t="s">
        <v>98</v>
      </c>
      <c r="B132" s="339"/>
      <c r="C132" s="339"/>
      <c r="D132" s="339"/>
      <c r="E132" s="90"/>
      <c r="F132" s="33"/>
      <c r="G132" s="177">
        <f t="shared" si="10"/>
        <v>0</v>
      </c>
      <c r="H132" s="33"/>
      <c r="I132" s="177">
        <f t="shared" si="11"/>
        <v>0</v>
      </c>
      <c r="J132" s="33"/>
      <c r="K132" s="177">
        <f t="shared" si="6"/>
        <v>0</v>
      </c>
      <c r="L132" s="33"/>
      <c r="M132" s="177">
        <f t="shared" si="7"/>
        <v>0</v>
      </c>
      <c r="N132" s="33"/>
      <c r="O132" s="177">
        <f t="shared" si="8"/>
        <v>0</v>
      </c>
      <c r="P132" s="33"/>
      <c r="Q132" s="168">
        <f t="shared" si="9"/>
        <v>0</v>
      </c>
    </row>
    <row r="133" spans="1:17" s="19" customFormat="1" ht="14.25" customHeight="1" hidden="1">
      <c r="A133" s="28" t="s">
        <v>29</v>
      </c>
      <c r="B133" s="53"/>
      <c r="C133" s="53"/>
      <c r="D133" s="53"/>
      <c r="E133" s="90"/>
      <c r="F133" s="33"/>
      <c r="G133" s="177">
        <f t="shared" si="10"/>
        <v>0</v>
      </c>
      <c r="H133" s="33"/>
      <c r="I133" s="177">
        <f t="shared" si="11"/>
        <v>0</v>
      </c>
      <c r="J133" s="33"/>
      <c r="K133" s="177">
        <f t="shared" si="6"/>
        <v>0</v>
      </c>
      <c r="L133" s="33"/>
      <c r="M133" s="177">
        <f t="shared" si="7"/>
        <v>0</v>
      </c>
      <c r="N133" s="33"/>
      <c r="O133" s="177">
        <f t="shared" si="8"/>
        <v>0</v>
      </c>
      <c r="P133" s="33"/>
      <c r="Q133" s="168">
        <f t="shared" si="9"/>
        <v>0</v>
      </c>
    </row>
    <row r="134" spans="1:17" s="19" customFormat="1" ht="14.25" customHeight="1" hidden="1">
      <c r="A134" s="24" t="s">
        <v>22</v>
      </c>
      <c r="B134" s="55"/>
      <c r="C134" s="55"/>
      <c r="D134" s="56">
        <v>225</v>
      </c>
      <c r="E134" s="90"/>
      <c r="F134" s="33"/>
      <c r="G134" s="177">
        <f t="shared" si="10"/>
        <v>0</v>
      </c>
      <c r="H134" s="33"/>
      <c r="I134" s="177">
        <f t="shared" si="11"/>
        <v>0</v>
      </c>
      <c r="J134" s="33"/>
      <c r="K134" s="177">
        <f t="shared" si="6"/>
        <v>0</v>
      </c>
      <c r="L134" s="33"/>
      <c r="M134" s="177">
        <f t="shared" si="7"/>
        <v>0</v>
      </c>
      <c r="N134" s="33"/>
      <c r="O134" s="177">
        <f t="shared" si="8"/>
        <v>0</v>
      </c>
      <c r="P134" s="33"/>
      <c r="Q134" s="168">
        <f t="shared" si="9"/>
        <v>0</v>
      </c>
    </row>
    <row r="135" spans="1:17" s="19" customFormat="1" ht="14.25" customHeight="1" hidden="1">
      <c r="A135" s="24" t="s">
        <v>23</v>
      </c>
      <c r="B135" s="55"/>
      <c r="C135" s="55"/>
      <c r="D135" s="56">
        <v>226</v>
      </c>
      <c r="E135" s="90"/>
      <c r="F135" s="33"/>
      <c r="G135" s="177">
        <f t="shared" si="10"/>
        <v>0</v>
      </c>
      <c r="H135" s="33"/>
      <c r="I135" s="177">
        <f t="shared" si="11"/>
        <v>0</v>
      </c>
      <c r="J135" s="33"/>
      <c r="K135" s="177">
        <f t="shared" si="6"/>
        <v>0</v>
      </c>
      <c r="L135" s="33"/>
      <c r="M135" s="177">
        <f t="shared" si="7"/>
        <v>0</v>
      </c>
      <c r="N135" s="33"/>
      <c r="O135" s="177">
        <f t="shared" si="8"/>
        <v>0</v>
      </c>
      <c r="P135" s="33"/>
      <c r="Q135" s="168">
        <f t="shared" si="9"/>
        <v>0</v>
      </c>
    </row>
    <row r="136" spans="1:17" s="19" customFormat="1" ht="14.25" customHeight="1" hidden="1">
      <c r="A136" s="24" t="s">
        <v>26</v>
      </c>
      <c r="B136" s="55"/>
      <c r="C136" s="55"/>
      <c r="D136" s="56"/>
      <c r="E136" s="90"/>
      <c r="F136" s="33"/>
      <c r="G136" s="177">
        <f t="shared" si="10"/>
        <v>0</v>
      </c>
      <c r="H136" s="33"/>
      <c r="I136" s="177">
        <f t="shared" si="11"/>
        <v>0</v>
      </c>
      <c r="J136" s="33"/>
      <c r="K136" s="177">
        <f t="shared" si="6"/>
        <v>0</v>
      </c>
      <c r="L136" s="33"/>
      <c r="M136" s="177">
        <f t="shared" si="7"/>
        <v>0</v>
      </c>
      <c r="N136" s="33"/>
      <c r="O136" s="177">
        <f t="shared" si="8"/>
        <v>0</v>
      </c>
      <c r="P136" s="33"/>
      <c r="Q136" s="168">
        <f t="shared" si="9"/>
        <v>0</v>
      </c>
    </row>
    <row r="137" spans="1:17" s="19" customFormat="1" ht="14.25" customHeight="1" hidden="1">
      <c r="A137" s="24"/>
      <c r="B137" s="55"/>
      <c r="C137" s="55"/>
      <c r="D137" s="56"/>
      <c r="E137" s="90"/>
      <c r="F137" s="33"/>
      <c r="G137" s="177">
        <f t="shared" si="10"/>
        <v>0</v>
      </c>
      <c r="H137" s="33"/>
      <c r="I137" s="177">
        <f t="shared" si="11"/>
        <v>0</v>
      </c>
      <c r="J137" s="33"/>
      <c r="K137" s="177">
        <f t="shared" si="6"/>
        <v>0</v>
      </c>
      <c r="L137" s="33"/>
      <c r="M137" s="177">
        <f t="shared" si="7"/>
        <v>0</v>
      </c>
      <c r="N137" s="33"/>
      <c r="O137" s="177">
        <f t="shared" si="8"/>
        <v>0</v>
      </c>
      <c r="P137" s="33"/>
      <c r="Q137" s="168">
        <f t="shared" si="9"/>
        <v>0</v>
      </c>
    </row>
    <row r="138" spans="1:17" s="19" customFormat="1" ht="14.25" customHeight="1" hidden="1">
      <c r="A138" s="24"/>
      <c r="B138" s="55"/>
      <c r="C138" s="55"/>
      <c r="D138" s="56"/>
      <c r="E138" s="90"/>
      <c r="F138" s="33"/>
      <c r="G138" s="177">
        <f t="shared" si="10"/>
        <v>0</v>
      </c>
      <c r="H138" s="33"/>
      <c r="I138" s="177">
        <f t="shared" si="11"/>
        <v>0</v>
      </c>
      <c r="J138" s="33"/>
      <c r="K138" s="177">
        <f t="shared" si="6"/>
        <v>0</v>
      </c>
      <c r="L138" s="33"/>
      <c r="M138" s="177">
        <f aca="true" t="shared" si="12" ref="M138:M198">K138+L138</f>
        <v>0</v>
      </c>
      <c r="N138" s="33"/>
      <c r="O138" s="177">
        <f aca="true" t="shared" si="13" ref="O138:O201">M138+N138</f>
        <v>0</v>
      </c>
      <c r="P138" s="33"/>
      <c r="Q138" s="168">
        <f aca="true" t="shared" si="14" ref="Q138:Q198">O138+P138</f>
        <v>0</v>
      </c>
    </row>
    <row r="139" spans="1:17" s="19" customFormat="1" ht="14.25" customHeight="1" hidden="1">
      <c r="A139" s="338" t="s">
        <v>111</v>
      </c>
      <c r="B139" s="339"/>
      <c r="C139" s="339"/>
      <c r="D139" s="339"/>
      <c r="E139" s="90"/>
      <c r="F139" s="33"/>
      <c r="G139" s="177">
        <f t="shared" si="10"/>
        <v>0</v>
      </c>
      <c r="H139" s="33"/>
      <c r="I139" s="177">
        <f t="shared" si="11"/>
        <v>0</v>
      </c>
      <c r="J139" s="33"/>
      <c r="K139" s="177">
        <f aca="true" t="shared" si="15" ref="K139:K198">I139+J139</f>
        <v>0</v>
      </c>
      <c r="L139" s="33"/>
      <c r="M139" s="177">
        <f t="shared" si="12"/>
        <v>0</v>
      </c>
      <c r="N139" s="33"/>
      <c r="O139" s="177">
        <f t="shared" si="13"/>
        <v>0</v>
      </c>
      <c r="P139" s="33"/>
      <c r="Q139" s="168">
        <f t="shared" si="14"/>
        <v>0</v>
      </c>
    </row>
    <row r="140" spans="1:17" s="19" customFormat="1" ht="14.25" customHeight="1" hidden="1">
      <c r="A140" s="28" t="s">
        <v>29</v>
      </c>
      <c r="B140" s="53"/>
      <c r="C140" s="53"/>
      <c r="D140" s="53"/>
      <c r="E140" s="90"/>
      <c r="F140" s="33"/>
      <c r="G140" s="177">
        <f t="shared" si="10"/>
        <v>0</v>
      </c>
      <c r="H140" s="33"/>
      <c r="I140" s="177">
        <f t="shared" si="11"/>
        <v>0</v>
      </c>
      <c r="J140" s="33"/>
      <c r="K140" s="177">
        <f t="shared" si="15"/>
        <v>0</v>
      </c>
      <c r="L140" s="33"/>
      <c r="M140" s="177">
        <f t="shared" si="12"/>
        <v>0</v>
      </c>
      <c r="N140" s="33"/>
      <c r="O140" s="177">
        <f t="shared" si="13"/>
        <v>0</v>
      </c>
      <c r="P140" s="33"/>
      <c r="Q140" s="168">
        <f t="shared" si="14"/>
        <v>0</v>
      </c>
    </row>
    <row r="141" spans="1:17" s="19" customFormat="1" ht="14.25" customHeight="1" hidden="1">
      <c r="A141" s="24" t="s">
        <v>22</v>
      </c>
      <c r="B141" s="55"/>
      <c r="C141" s="55"/>
      <c r="D141" s="56">
        <v>225</v>
      </c>
      <c r="E141" s="90"/>
      <c r="F141" s="33"/>
      <c r="G141" s="177">
        <f aca="true" t="shared" si="16" ref="G141:G198">E141+F141</f>
        <v>0</v>
      </c>
      <c r="H141" s="33"/>
      <c r="I141" s="177">
        <f aca="true" t="shared" si="17" ref="I141:I198">G141+H141</f>
        <v>0</v>
      </c>
      <c r="J141" s="33"/>
      <c r="K141" s="177">
        <f t="shared" si="15"/>
        <v>0</v>
      </c>
      <c r="L141" s="33"/>
      <c r="M141" s="177">
        <f t="shared" si="12"/>
        <v>0</v>
      </c>
      <c r="N141" s="33"/>
      <c r="O141" s="177">
        <f t="shared" si="13"/>
        <v>0</v>
      </c>
      <c r="P141" s="33"/>
      <c r="Q141" s="168">
        <f t="shared" si="14"/>
        <v>0</v>
      </c>
    </row>
    <row r="142" spans="1:17" s="19" customFormat="1" ht="14.25" customHeight="1" hidden="1">
      <c r="A142" s="24" t="s">
        <v>23</v>
      </c>
      <c r="B142" s="55"/>
      <c r="C142" s="55"/>
      <c r="D142" s="56">
        <v>226</v>
      </c>
      <c r="E142" s="90"/>
      <c r="F142" s="33"/>
      <c r="G142" s="177">
        <f t="shared" si="16"/>
        <v>0</v>
      </c>
      <c r="H142" s="33"/>
      <c r="I142" s="177">
        <f t="shared" si="17"/>
        <v>0</v>
      </c>
      <c r="J142" s="33"/>
      <c r="K142" s="177">
        <f t="shared" si="15"/>
        <v>0</v>
      </c>
      <c r="L142" s="33"/>
      <c r="M142" s="177">
        <f t="shared" si="12"/>
        <v>0</v>
      </c>
      <c r="N142" s="33"/>
      <c r="O142" s="177">
        <f t="shared" si="13"/>
        <v>0</v>
      </c>
      <c r="P142" s="33"/>
      <c r="Q142" s="168">
        <f t="shared" si="14"/>
        <v>0</v>
      </c>
    </row>
    <row r="143" spans="1:17" s="19" customFormat="1" ht="14.25" customHeight="1" hidden="1">
      <c r="A143" s="24" t="s">
        <v>26</v>
      </c>
      <c r="B143" s="55"/>
      <c r="C143" s="55"/>
      <c r="D143" s="56"/>
      <c r="E143" s="90"/>
      <c r="F143" s="33"/>
      <c r="G143" s="177">
        <f t="shared" si="16"/>
        <v>0</v>
      </c>
      <c r="H143" s="33"/>
      <c r="I143" s="177">
        <f t="shared" si="17"/>
        <v>0</v>
      </c>
      <c r="J143" s="33"/>
      <c r="K143" s="177">
        <f t="shared" si="15"/>
        <v>0</v>
      </c>
      <c r="L143" s="33"/>
      <c r="M143" s="177">
        <f t="shared" si="12"/>
        <v>0</v>
      </c>
      <c r="N143" s="33"/>
      <c r="O143" s="177">
        <f t="shared" si="13"/>
        <v>0</v>
      </c>
      <c r="P143" s="33"/>
      <c r="Q143" s="168">
        <f t="shared" si="14"/>
        <v>0</v>
      </c>
    </row>
    <row r="144" spans="1:17" s="19" customFormat="1" ht="25.5" customHeight="1" hidden="1">
      <c r="A144" s="24" t="s">
        <v>27</v>
      </c>
      <c r="B144" s="55"/>
      <c r="C144" s="55"/>
      <c r="D144" s="56">
        <v>310</v>
      </c>
      <c r="E144" s="90"/>
      <c r="F144" s="33"/>
      <c r="G144" s="177">
        <f t="shared" si="16"/>
        <v>0</v>
      </c>
      <c r="H144" s="33"/>
      <c r="I144" s="177">
        <f t="shared" si="17"/>
        <v>0</v>
      </c>
      <c r="J144" s="33"/>
      <c r="K144" s="177">
        <f t="shared" si="15"/>
        <v>0</v>
      </c>
      <c r="L144" s="33"/>
      <c r="M144" s="177">
        <f t="shared" si="12"/>
        <v>0</v>
      </c>
      <c r="N144" s="33"/>
      <c r="O144" s="177">
        <f t="shared" si="13"/>
        <v>0</v>
      </c>
      <c r="P144" s="33"/>
      <c r="Q144" s="168">
        <f t="shared" si="14"/>
        <v>0</v>
      </c>
    </row>
    <row r="145" spans="1:17" s="19" customFormat="1" ht="14.25" customHeight="1" hidden="1">
      <c r="A145" s="24" t="s">
        <v>44</v>
      </c>
      <c r="B145" s="55"/>
      <c r="C145" s="55"/>
      <c r="D145" s="56">
        <v>340</v>
      </c>
      <c r="E145" s="90"/>
      <c r="F145" s="33"/>
      <c r="G145" s="177">
        <f t="shared" si="16"/>
        <v>0</v>
      </c>
      <c r="H145" s="33"/>
      <c r="I145" s="177">
        <f t="shared" si="17"/>
        <v>0</v>
      </c>
      <c r="J145" s="33"/>
      <c r="K145" s="177">
        <f t="shared" si="15"/>
        <v>0</v>
      </c>
      <c r="L145" s="33"/>
      <c r="M145" s="177">
        <f t="shared" si="12"/>
        <v>0</v>
      </c>
      <c r="N145" s="33"/>
      <c r="O145" s="177">
        <f t="shared" si="13"/>
        <v>0</v>
      </c>
      <c r="P145" s="33"/>
      <c r="Q145" s="168">
        <f t="shared" si="14"/>
        <v>0</v>
      </c>
    </row>
    <row r="146" spans="1:17" s="19" customFormat="1" ht="14.25" customHeight="1" hidden="1">
      <c r="A146" s="54"/>
      <c r="B146" s="55"/>
      <c r="C146" s="55"/>
      <c r="D146" s="56"/>
      <c r="E146" s="90"/>
      <c r="F146" s="33"/>
      <c r="G146" s="177">
        <f t="shared" si="16"/>
        <v>0</v>
      </c>
      <c r="H146" s="33"/>
      <c r="I146" s="177">
        <f t="shared" si="17"/>
        <v>0</v>
      </c>
      <c r="J146" s="33"/>
      <c r="K146" s="177">
        <f t="shared" si="15"/>
        <v>0</v>
      </c>
      <c r="L146" s="33"/>
      <c r="M146" s="177">
        <f t="shared" si="12"/>
        <v>0</v>
      </c>
      <c r="N146" s="33"/>
      <c r="O146" s="177">
        <f t="shared" si="13"/>
        <v>0</v>
      </c>
      <c r="P146" s="33"/>
      <c r="Q146" s="168">
        <f t="shared" si="14"/>
        <v>0</v>
      </c>
    </row>
    <row r="147" spans="1:17" s="19" customFormat="1" ht="14.25" customHeight="1" hidden="1">
      <c r="A147" s="54"/>
      <c r="B147" s="55"/>
      <c r="C147" s="55"/>
      <c r="D147" s="56"/>
      <c r="E147" s="90"/>
      <c r="F147" s="33"/>
      <c r="G147" s="177">
        <f t="shared" si="16"/>
        <v>0</v>
      </c>
      <c r="H147" s="33"/>
      <c r="I147" s="177">
        <f t="shared" si="17"/>
        <v>0</v>
      </c>
      <c r="J147" s="33"/>
      <c r="K147" s="177">
        <f t="shared" si="15"/>
        <v>0</v>
      </c>
      <c r="L147" s="33"/>
      <c r="M147" s="177">
        <f t="shared" si="12"/>
        <v>0</v>
      </c>
      <c r="N147" s="33"/>
      <c r="O147" s="177">
        <f t="shared" si="13"/>
        <v>0</v>
      </c>
      <c r="P147" s="33"/>
      <c r="Q147" s="168">
        <f t="shared" si="14"/>
        <v>0</v>
      </c>
    </row>
    <row r="148" spans="1:17" s="19" customFormat="1" ht="14.25" customHeight="1" hidden="1">
      <c r="A148" s="54"/>
      <c r="B148" s="55"/>
      <c r="C148" s="55"/>
      <c r="D148" s="56"/>
      <c r="E148" s="90"/>
      <c r="F148" s="33"/>
      <c r="G148" s="177">
        <f t="shared" si="16"/>
        <v>0</v>
      </c>
      <c r="H148" s="33"/>
      <c r="I148" s="177">
        <f t="shared" si="17"/>
        <v>0</v>
      </c>
      <c r="J148" s="33"/>
      <c r="K148" s="177">
        <f t="shared" si="15"/>
        <v>0</v>
      </c>
      <c r="L148" s="33"/>
      <c r="M148" s="177">
        <f t="shared" si="12"/>
        <v>0</v>
      </c>
      <c r="N148" s="33"/>
      <c r="O148" s="177">
        <f t="shared" si="13"/>
        <v>0</v>
      </c>
      <c r="P148" s="33"/>
      <c r="Q148" s="168">
        <f t="shared" si="14"/>
        <v>0</v>
      </c>
    </row>
    <row r="149" spans="1:17" s="19" customFormat="1" ht="14.25" customHeight="1" hidden="1">
      <c r="A149" s="54"/>
      <c r="B149" s="55"/>
      <c r="C149" s="55"/>
      <c r="D149" s="56"/>
      <c r="E149" s="90"/>
      <c r="F149" s="33"/>
      <c r="G149" s="177">
        <f t="shared" si="16"/>
        <v>0</v>
      </c>
      <c r="H149" s="33"/>
      <c r="I149" s="177">
        <f t="shared" si="17"/>
        <v>0</v>
      </c>
      <c r="J149" s="33"/>
      <c r="K149" s="177">
        <f t="shared" si="15"/>
        <v>0</v>
      </c>
      <c r="L149" s="33"/>
      <c r="M149" s="177">
        <f t="shared" si="12"/>
        <v>0</v>
      </c>
      <c r="N149" s="33"/>
      <c r="O149" s="177">
        <f t="shared" si="13"/>
        <v>0</v>
      </c>
      <c r="P149" s="33"/>
      <c r="Q149" s="168">
        <f t="shared" si="14"/>
        <v>0</v>
      </c>
    </row>
    <row r="150" spans="1:17" s="19" customFormat="1" ht="13.5" customHeight="1">
      <c r="A150" s="338" t="s">
        <v>241</v>
      </c>
      <c r="B150" s="339"/>
      <c r="C150" s="339"/>
      <c r="D150" s="340"/>
      <c r="E150" s="91"/>
      <c r="F150" s="33"/>
      <c r="G150" s="177">
        <f t="shared" si="16"/>
        <v>0</v>
      </c>
      <c r="H150" s="33"/>
      <c r="I150" s="177">
        <f t="shared" si="17"/>
        <v>0</v>
      </c>
      <c r="J150" s="33"/>
      <c r="K150" s="177">
        <f t="shared" si="15"/>
        <v>0</v>
      </c>
      <c r="L150" s="33"/>
      <c r="M150" s="177">
        <f t="shared" si="12"/>
        <v>0</v>
      </c>
      <c r="N150" s="33"/>
      <c r="O150" s="177">
        <f t="shared" si="13"/>
        <v>0</v>
      </c>
      <c r="P150" s="33"/>
      <c r="Q150" s="168">
        <f t="shared" si="14"/>
        <v>0</v>
      </c>
    </row>
    <row r="151" spans="1:17" s="19" customFormat="1" ht="13.5" customHeight="1">
      <c r="A151" s="28" t="s">
        <v>29</v>
      </c>
      <c r="B151" s="24"/>
      <c r="C151" s="24"/>
      <c r="D151" s="25"/>
      <c r="E151" s="87">
        <f>SUM(E152:E160)</f>
        <v>0</v>
      </c>
      <c r="F151" s="33"/>
      <c r="G151" s="177">
        <f t="shared" si="16"/>
        <v>0</v>
      </c>
      <c r="H151" s="33">
        <f>H158</f>
        <v>5000</v>
      </c>
      <c r="I151" s="177">
        <f t="shared" si="17"/>
        <v>5000</v>
      </c>
      <c r="J151" s="33"/>
      <c r="K151" s="177">
        <f t="shared" si="15"/>
        <v>5000</v>
      </c>
      <c r="L151" s="33"/>
      <c r="M151" s="177">
        <f t="shared" si="12"/>
        <v>5000</v>
      </c>
      <c r="N151" s="33"/>
      <c r="O151" s="177">
        <f t="shared" si="13"/>
        <v>5000</v>
      </c>
      <c r="P151" s="33"/>
      <c r="Q151" s="168">
        <f t="shared" si="14"/>
        <v>5000</v>
      </c>
    </row>
    <row r="152" spans="1:17" s="19" customFormat="1" ht="13.5" customHeight="1" hidden="1">
      <c r="A152" s="24" t="s">
        <v>18</v>
      </c>
      <c r="B152" s="24"/>
      <c r="C152" s="24"/>
      <c r="D152" s="25">
        <v>221</v>
      </c>
      <c r="E152" s="92"/>
      <c r="F152" s="33"/>
      <c r="G152" s="177">
        <f t="shared" si="16"/>
        <v>0</v>
      </c>
      <c r="H152" s="33"/>
      <c r="I152" s="177">
        <f t="shared" si="17"/>
        <v>0</v>
      </c>
      <c r="J152" s="33"/>
      <c r="K152" s="177">
        <f t="shared" si="15"/>
        <v>0</v>
      </c>
      <c r="L152" s="33"/>
      <c r="M152" s="177">
        <f t="shared" si="12"/>
        <v>0</v>
      </c>
      <c r="N152" s="33"/>
      <c r="O152" s="177">
        <f t="shared" si="13"/>
        <v>0</v>
      </c>
      <c r="P152" s="33"/>
      <c r="Q152" s="168">
        <f t="shared" si="14"/>
        <v>0</v>
      </c>
    </row>
    <row r="153" spans="1:17" s="19" customFormat="1" ht="13.5" customHeight="1" hidden="1">
      <c r="A153" s="24" t="s">
        <v>19</v>
      </c>
      <c r="B153" s="24"/>
      <c r="C153" s="24"/>
      <c r="D153" s="25">
        <v>222</v>
      </c>
      <c r="E153" s="93"/>
      <c r="F153" s="33"/>
      <c r="G153" s="177">
        <f t="shared" si="16"/>
        <v>0</v>
      </c>
      <c r="H153" s="33"/>
      <c r="I153" s="177">
        <f t="shared" si="17"/>
        <v>0</v>
      </c>
      <c r="J153" s="33"/>
      <c r="K153" s="177">
        <f t="shared" si="15"/>
        <v>0</v>
      </c>
      <c r="L153" s="33"/>
      <c r="M153" s="177">
        <f t="shared" si="12"/>
        <v>0</v>
      </c>
      <c r="N153" s="33"/>
      <c r="O153" s="177">
        <f t="shared" si="13"/>
        <v>0</v>
      </c>
      <c r="P153" s="33"/>
      <c r="Q153" s="168">
        <f t="shared" si="14"/>
        <v>0</v>
      </c>
    </row>
    <row r="154" spans="1:17" s="19" customFormat="1" ht="13.5" customHeight="1" hidden="1">
      <c r="A154" s="24" t="s">
        <v>20</v>
      </c>
      <c r="B154" s="24"/>
      <c r="C154" s="24"/>
      <c r="D154" s="25">
        <v>223</v>
      </c>
      <c r="E154" s="94"/>
      <c r="F154" s="33"/>
      <c r="G154" s="177">
        <f t="shared" si="16"/>
        <v>0</v>
      </c>
      <c r="H154" s="33"/>
      <c r="I154" s="177">
        <f t="shared" si="17"/>
        <v>0</v>
      </c>
      <c r="J154" s="33"/>
      <c r="K154" s="177">
        <f t="shared" si="15"/>
        <v>0</v>
      </c>
      <c r="L154" s="33"/>
      <c r="M154" s="177">
        <f t="shared" si="12"/>
        <v>0</v>
      </c>
      <c r="N154" s="33"/>
      <c r="O154" s="177">
        <f t="shared" si="13"/>
        <v>0</v>
      </c>
      <c r="P154" s="33"/>
      <c r="Q154" s="168">
        <f t="shared" si="14"/>
        <v>0</v>
      </c>
    </row>
    <row r="155" spans="1:17" s="19" customFormat="1" ht="13.5" customHeight="1" hidden="1">
      <c r="A155" s="24" t="s">
        <v>21</v>
      </c>
      <c r="B155" s="24"/>
      <c r="C155" s="24"/>
      <c r="D155" s="25">
        <v>224</v>
      </c>
      <c r="E155" s="93"/>
      <c r="F155" s="33"/>
      <c r="G155" s="177">
        <f t="shared" si="16"/>
        <v>0</v>
      </c>
      <c r="H155" s="33"/>
      <c r="I155" s="177">
        <f t="shared" si="17"/>
        <v>0</v>
      </c>
      <c r="J155" s="33"/>
      <c r="K155" s="177">
        <f t="shared" si="15"/>
        <v>0</v>
      </c>
      <c r="L155" s="33"/>
      <c r="M155" s="177">
        <f t="shared" si="12"/>
        <v>0</v>
      </c>
      <c r="N155" s="33"/>
      <c r="O155" s="177">
        <f t="shared" si="13"/>
        <v>0</v>
      </c>
      <c r="P155" s="33"/>
      <c r="Q155" s="168">
        <f t="shared" si="14"/>
        <v>0</v>
      </c>
    </row>
    <row r="156" spans="1:17" s="19" customFormat="1" ht="13.5" customHeight="1" hidden="1">
      <c r="A156" s="24" t="s">
        <v>23</v>
      </c>
      <c r="B156" s="24"/>
      <c r="C156" s="24">
        <v>244</v>
      </c>
      <c r="D156" s="25">
        <v>226</v>
      </c>
      <c r="E156" s="93"/>
      <c r="F156" s="33"/>
      <c r="G156" s="177">
        <f t="shared" si="16"/>
        <v>0</v>
      </c>
      <c r="H156" s="33"/>
      <c r="I156" s="177">
        <f t="shared" si="17"/>
        <v>0</v>
      </c>
      <c r="J156" s="33"/>
      <c r="K156" s="177">
        <f t="shared" si="15"/>
        <v>0</v>
      </c>
      <c r="L156" s="33"/>
      <c r="M156" s="177">
        <f t="shared" si="12"/>
        <v>0</v>
      </c>
      <c r="N156" s="33"/>
      <c r="O156" s="177">
        <f t="shared" si="13"/>
        <v>0</v>
      </c>
      <c r="P156" s="33"/>
      <c r="Q156" s="168">
        <f t="shared" si="14"/>
        <v>0</v>
      </c>
    </row>
    <row r="157" spans="1:17" s="19" customFormat="1" ht="13.5" customHeight="1" hidden="1">
      <c r="A157" s="24" t="s">
        <v>23</v>
      </c>
      <c r="B157" s="24"/>
      <c r="C157" s="24">
        <v>242</v>
      </c>
      <c r="D157" s="25">
        <v>226</v>
      </c>
      <c r="E157" s="95"/>
      <c r="F157" s="33"/>
      <c r="G157" s="177">
        <f t="shared" si="16"/>
        <v>0</v>
      </c>
      <c r="H157" s="33"/>
      <c r="I157" s="177">
        <f t="shared" si="17"/>
        <v>0</v>
      </c>
      <c r="J157" s="33"/>
      <c r="K157" s="177">
        <f t="shared" si="15"/>
        <v>0</v>
      </c>
      <c r="L157" s="33"/>
      <c r="M157" s="177">
        <f t="shared" si="12"/>
        <v>0</v>
      </c>
      <c r="N157" s="33"/>
      <c r="O157" s="177">
        <f t="shared" si="13"/>
        <v>0</v>
      </c>
      <c r="P157" s="33"/>
      <c r="Q157" s="168">
        <f t="shared" si="14"/>
        <v>0</v>
      </c>
    </row>
    <row r="158" spans="1:17" s="19" customFormat="1" ht="13.5" customHeight="1">
      <c r="A158" s="24" t="s">
        <v>26</v>
      </c>
      <c r="B158" s="24"/>
      <c r="C158" s="24">
        <v>244</v>
      </c>
      <c r="D158" s="25">
        <v>290</v>
      </c>
      <c r="E158" s="95"/>
      <c r="F158" s="33"/>
      <c r="G158" s="177">
        <f t="shared" si="16"/>
        <v>0</v>
      </c>
      <c r="H158" s="33">
        <v>5000</v>
      </c>
      <c r="I158" s="177">
        <f t="shared" si="17"/>
        <v>5000</v>
      </c>
      <c r="J158" s="33"/>
      <c r="K158" s="177">
        <f t="shared" si="15"/>
        <v>5000</v>
      </c>
      <c r="L158" s="33"/>
      <c r="M158" s="177">
        <f t="shared" si="12"/>
        <v>5000</v>
      </c>
      <c r="N158" s="33"/>
      <c r="O158" s="177">
        <f t="shared" si="13"/>
        <v>5000</v>
      </c>
      <c r="P158" s="33"/>
      <c r="Q158" s="168">
        <f t="shared" si="14"/>
        <v>5000</v>
      </c>
    </row>
    <row r="159" spans="1:17" s="19" customFormat="1" ht="13.5" customHeight="1" hidden="1">
      <c r="A159" s="24" t="s">
        <v>27</v>
      </c>
      <c r="B159" s="24"/>
      <c r="C159" s="24"/>
      <c r="D159" s="25">
        <v>310</v>
      </c>
      <c r="E159" s="95"/>
      <c r="F159" s="33"/>
      <c r="G159" s="177">
        <f t="shared" si="16"/>
        <v>0</v>
      </c>
      <c r="H159" s="33"/>
      <c r="I159" s="177">
        <f t="shared" si="17"/>
        <v>0</v>
      </c>
      <c r="J159" s="33"/>
      <c r="K159" s="177">
        <f t="shared" si="15"/>
        <v>0</v>
      </c>
      <c r="L159" s="33"/>
      <c r="M159" s="177">
        <f t="shared" si="12"/>
        <v>0</v>
      </c>
      <c r="N159" s="33"/>
      <c r="O159" s="177">
        <f t="shared" si="13"/>
        <v>0</v>
      </c>
      <c r="P159" s="33"/>
      <c r="Q159" s="168">
        <f t="shared" si="14"/>
        <v>0</v>
      </c>
    </row>
    <row r="160" spans="1:17" s="19" customFormat="1" ht="13.5" customHeight="1" hidden="1">
      <c r="A160" s="24" t="s">
        <v>44</v>
      </c>
      <c r="B160" s="24"/>
      <c r="C160" s="24"/>
      <c r="D160" s="25">
        <v>340</v>
      </c>
      <c r="E160" s="95"/>
      <c r="F160" s="33"/>
      <c r="G160" s="177">
        <f t="shared" si="16"/>
        <v>0</v>
      </c>
      <c r="H160" s="33"/>
      <c r="I160" s="177">
        <f t="shared" si="17"/>
        <v>0</v>
      </c>
      <c r="J160" s="33"/>
      <c r="K160" s="177">
        <f t="shared" si="15"/>
        <v>0</v>
      </c>
      <c r="L160" s="33"/>
      <c r="M160" s="177">
        <f t="shared" si="12"/>
        <v>0</v>
      </c>
      <c r="N160" s="33"/>
      <c r="O160" s="177">
        <f t="shared" si="13"/>
        <v>0</v>
      </c>
      <c r="P160" s="33"/>
      <c r="Q160" s="168">
        <f t="shared" si="14"/>
        <v>0</v>
      </c>
    </row>
    <row r="161" spans="1:17" s="19" customFormat="1" ht="13.5" customHeight="1" hidden="1">
      <c r="A161" s="338" t="s">
        <v>79</v>
      </c>
      <c r="B161" s="339"/>
      <c r="C161" s="339"/>
      <c r="D161" s="339"/>
      <c r="E161" s="95"/>
      <c r="F161" s="33"/>
      <c r="G161" s="177">
        <f t="shared" si="16"/>
        <v>0</v>
      </c>
      <c r="H161" s="33"/>
      <c r="I161" s="177">
        <f t="shared" si="17"/>
        <v>0</v>
      </c>
      <c r="J161" s="33"/>
      <c r="K161" s="177">
        <f t="shared" si="15"/>
        <v>0</v>
      </c>
      <c r="L161" s="33"/>
      <c r="M161" s="177">
        <f t="shared" si="12"/>
        <v>0</v>
      </c>
      <c r="N161" s="33"/>
      <c r="O161" s="177">
        <f t="shared" si="13"/>
        <v>0</v>
      </c>
      <c r="P161" s="33"/>
      <c r="Q161" s="168">
        <f t="shared" si="14"/>
        <v>0</v>
      </c>
    </row>
    <row r="162" spans="1:17" s="19" customFormat="1" ht="13.5" customHeight="1" hidden="1">
      <c r="A162" s="28" t="s">
        <v>29</v>
      </c>
      <c r="B162" s="24"/>
      <c r="C162" s="24"/>
      <c r="D162" s="25"/>
      <c r="E162" s="96">
        <f>SUM(E163:E171)</f>
        <v>0</v>
      </c>
      <c r="F162" s="33"/>
      <c r="G162" s="177">
        <f t="shared" si="16"/>
        <v>0</v>
      </c>
      <c r="H162" s="33"/>
      <c r="I162" s="177">
        <f t="shared" si="17"/>
        <v>0</v>
      </c>
      <c r="J162" s="33"/>
      <c r="K162" s="177">
        <f t="shared" si="15"/>
        <v>0</v>
      </c>
      <c r="L162" s="33"/>
      <c r="M162" s="177">
        <f t="shared" si="12"/>
        <v>0</v>
      </c>
      <c r="N162" s="33"/>
      <c r="O162" s="177">
        <f t="shared" si="13"/>
        <v>0</v>
      </c>
      <c r="P162" s="33"/>
      <c r="Q162" s="168">
        <f t="shared" si="14"/>
        <v>0</v>
      </c>
    </row>
    <row r="163" spans="1:17" s="19" customFormat="1" ht="13.5" customHeight="1" hidden="1">
      <c r="A163" s="24" t="s">
        <v>18</v>
      </c>
      <c r="B163" s="24"/>
      <c r="C163" s="24"/>
      <c r="D163" s="25">
        <v>221</v>
      </c>
      <c r="E163" s="96"/>
      <c r="F163" s="33"/>
      <c r="G163" s="177">
        <f t="shared" si="16"/>
        <v>0</v>
      </c>
      <c r="H163" s="33"/>
      <c r="I163" s="177">
        <f t="shared" si="17"/>
        <v>0</v>
      </c>
      <c r="J163" s="33"/>
      <c r="K163" s="177">
        <f t="shared" si="15"/>
        <v>0</v>
      </c>
      <c r="L163" s="33"/>
      <c r="M163" s="177">
        <f t="shared" si="12"/>
        <v>0</v>
      </c>
      <c r="N163" s="33"/>
      <c r="O163" s="177">
        <f t="shared" si="13"/>
        <v>0</v>
      </c>
      <c r="P163" s="33"/>
      <c r="Q163" s="168">
        <f t="shared" si="14"/>
        <v>0</v>
      </c>
    </row>
    <row r="164" spans="1:17" s="19" customFormat="1" ht="13.5" customHeight="1" hidden="1">
      <c r="A164" s="24" t="s">
        <v>19</v>
      </c>
      <c r="B164" s="24"/>
      <c r="C164" s="24"/>
      <c r="D164" s="25">
        <v>222</v>
      </c>
      <c r="E164" s="95"/>
      <c r="F164" s="33"/>
      <c r="G164" s="177">
        <f t="shared" si="16"/>
        <v>0</v>
      </c>
      <c r="H164" s="33"/>
      <c r="I164" s="177">
        <f t="shared" si="17"/>
        <v>0</v>
      </c>
      <c r="J164" s="33"/>
      <c r="K164" s="177">
        <f t="shared" si="15"/>
        <v>0</v>
      </c>
      <c r="L164" s="33"/>
      <c r="M164" s="177">
        <f t="shared" si="12"/>
        <v>0</v>
      </c>
      <c r="N164" s="33"/>
      <c r="O164" s="177">
        <f t="shared" si="13"/>
        <v>0</v>
      </c>
      <c r="P164" s="33"/>
      <c r="Q164" s="168">
        <f t="shared" si="14"/>
        <v>0</v>
      </c>
    </row>
    <row r="165" spans="1:17" s="19" customFormat="1" ht="13.5" customHeight="1" hidden="1">
      <c r="A165" s="24" t="s">
        <v>20</v>
      </c>
      <c r="B165" s="24"/>
      <c r="C165" s="24"/>
      <c r="D165" s="25">
        <v>223</v>
      </c>
      <c r="E165" s="95"/>
      <c r="F165" s="33"/>
      <c r="G165" s="177">
        <f t="shared" si="16"/>
        <v>0</v>
      </c>
      <c r="H165" s="33"/>
      <c r="I165" s="177">
        <f t="shared" si="17"/>
        <v>0</v>
      </c>
      <c r="J165" s="33"/>
      <c r="K165" s="177">
        <f t="shared" si="15"/>
        <v>0</v>
      </c>
      <c r="L165" s="33"/>
      <c r="M165" s="177">
        <f t="shared" si="12"/>
        <v>0</v>
      </c>
      <c r="N165" s="33"/>
      <c r="O165" s="177">
        <f t="shared" si="13"/>
        <v>0</v>
      </c>
      <c r="P165" s="33"/>
      <c r="Q165" s="168">
        <f t="shared" si="14"/>
        <v>0</v>
      </c>
    </row>
    <row r="166" spans="1:17" s="19" customFormat="1" ht="13.5" customHeight="1" hidden="1">
      <c r="A166" s="24" t="s">
        <v>21</v>
      </c>
      <c r="B166" s="24"/>
      <c r="C166" s="24"/>
      <c r="D166" s="25">
        <v>224</v>
      </c>
      <c r="E166" s="95"/>
      <c r="F166" s="33"/>
      <c r="G166" s="177">
        <f t="shared" si="16"/>
        <v>0</v>
      </c>
      <c r="H166" s="33"/>
      <c r="I166" s="177">
        <f t="shared" si="17"/>
        <v>0</v>
      </c>
      <c r="J166" s="33"/>
      <c r="K166" s="177">
        <f t="shared" si="15"/>
        <v>0</v>
      </c>
      <c r="L166" s="33"/>
      <c r="M166" s="177">
        <f t="shared" si="12"/>
        <v>0</v>
      </c>
      <c r="N166" s="33"/>
      <c r="O166" s="177">
        <f t="shared" si="13"/>
        <v>0</v>
      </c>
      <c r="P166" s="33"/>
      <c r="Q166" s="168">
        <f t="shared" si="14"/>
        <v>0</v>
      </c>
    </row>
    <row r="167" spans="1:17" s="19" customFormat="1" ht="13.5" customHeight="1" hidden="1">
      <c r="A167" s="24" t="s">
        <v>22</v>
      </c>
      <c r="B167" s="24"/>
      <c r="C167" s="24"/>
      <c r="D167" s="25">
        <v>225</v>
      </c>
      <c r="E167" s="95">
        <f>4200-4200</f>
        <v>0</v>
      </c>
      <c r="F167" s="33"/>
      <c r="G167" s="177">
        <f t="shared" si="16"/>
        <v>0</v>
      </c>
      <c r="H167" s="33"/>
      <c r="I167" s="177">
        <f t="shared" si="17"/>
        <v>0</v>
      </c>
      <c r="J167" s="33"/>
      <c r="K167" s="177">
        <f t="shared" si="15"/>
        <v>0</v>
      </c>
      <c r="L167" s="33"/>
      <c r="M167" s="177">
        <f t="shared" si="12"/>
        <v>0</v>
      </c>
      <c r="N167" s="33"/>
      <c r="O167" s="177">
        <f t="shared" si="13"/>
        <v>0</v>
      </c>
      <c r="P167" s="33"/>
      <c r="Q167" s="168">
        <f t="shared" si="14"/>
        <v>0</v>
      </c>
    </row>
    <row r="168" spans="1:17" s="19" customFormat="1" ht="13.5" customHeight="1" hidden="1">
      <c r="A168" s="24" t="s">
        <v>23</v>
      </c>
      <c r="B168" s="24"/>
      <c r="C168" s="24"/>
      <c r="D168" s="25">
        <v>226</v>
      </c>
      <c r="E168" s="95"/>
      <c r="F168" s="33"/>
      <c r="G168" s="177">
        <f t="shared" si="16"/>
        <v>0</v>
      </c>
      <c r="H168" s="33"/>
      <c r="I168" s="177">
        <f t="shared" si="17"/>
        <v>0</v>
      </c>
      <c r="J168" s="33"/>
      <c r="K168" s="177">
        <f t="shared" si="15"/>
        <v>0</v>
      </c>
      <c r="L168" s="33"/>
      <c r="M168" s="177">
        <f t="shared" si="12"/>
        <v>0</v>
      </c>
      <c r="N168" s="33"/>
      <c r="O168" s="177">
        <f t="shared" si="13"/>
        <v>0</v>
      </c>
      <c r="P168" s="33"/>
      <c r="Q168" s="168">
        <f t="shared" si="14"/>
        <v>0</v>
      </c>
    </row>
    <row r="169" spans="1:17" s="19" customFormat="1" ht="13.5" customHeight="1" hidden="1">
      <c r="A169" s="24" t="s">
        <v>26</v>
      </c>
      <c r="B169" s="24"/>
      <c r="C169" s="24"/>
      <c r="D169" s="25">
        <v>290</v>
      </c>
      <c r="E169" s="39"/>
      <c r="F169" s="33"/>
      <c r="G169" s="177">
        <f t="shared" si="16"/>
        <v>0</v>
      </c>
      <c r="H169" s="33"/>
      <c r="I169" s="177">
        <f t="shared" si="17"/>
        <v>0</v>
      </c>
      <c r="J169" s="33"/>
      <c r="K169" s="177">
        <f t="shared" si="15"/>
        <v>0</v>
      </c>
      <c r="L169" s="33"/>
      <c r="M169" s="177">
        <f t="shared" si="12"/>
        <v>0</v>
      </c>
      <c r="N169" s="33"/>
      <c r="O169" s="177">
        <f t="shared" si="13"/>
        <v>0</v>
      </c>
      <c r="P169" s="33"/>
      <c r="Q169" s="168">
        <f t="shared" si="14"/>
        <v>0</v>
      </c>
    </row>
    <row r="170" spans="1:17" s="19" customFormat="1" ht="13.5" customHeight="1" hidden="1">
      <c r="A170" s="24" t="s">
        <v>27</v>
      </c>
      <c r="B170" s="24"/>
      <c r="C170" s="24"/>
      <c r="D170" s="25">
        <v>310</v>
      </c>
      <c r="E170" s="39"/>
      <c r="F170" s="33"/>
      <c r="G170" s="177">
        <f t="shared" si="16"/>
        <v>0</v>
      </c>
      <c r="H170" s="33"/>
      <c r="I170" s="177">
        <f t="shared" si="17"/>
        <v>0</v>
      </c>
      <c r="J170" s="33"/>
      <c r="K170" s="177">
        <f t="shared" si="15"/>
        <v>0</v>
      </c>
      <c r="L170" s="33"/>
      <c r="M170" s="177">
        <f t="shared" si="12"/>
        <v>0</v>
      </c>
      <c r="N170" s="33"/>
      <c r="O170" s="177">
        <f t="shared" si="13"/>
        <v>0</v>
      </c>
      <c r="P170" s="33"/>
      <c r="Q170" s="168">
        <f t="shared" si="14"/>
        <v>0</v>
      </c>
    </row>
    <row r="171" spans="1:17" s="19" customFormat="1" ht="13.5" customHeight="1" hidden="1">
      <c r="A171" s="24" t="s">
        <v>28</v>
      </c>
      <c r="B171" s="24"/>
      <c r="C171" s="24"/>
      <c r="D171" s="25">
        <v>340</v>
      </c>
      <c r="E171" s="39">
        <f>SUM(E172:E175)</f>
        <v>0</v>
      </c>
      <c r="F171" s="33"/>
      <c r="G171" s="177">
        <f t="shared" si="16"/>
        <v>0</v>
      </c>
      <c r="H171" s="33"/>
      <c r="I171" s="177">
        <f t="shared" si="17"/>
        <v>0</v>
      </c>
      <c r="J171" s="33"/>
      <c r="K171" s="177">
        <f t="shared" si="15"/>
        <v>0</v>
      </c>
      <c r="L171" s="33"/>
      <c r="M171" s="177">
        <f t="shared" si="12"/>
        <v>0</v>
      </c>
      <c r="N171" s="33"/>
      <c r="O171" s="177">
        <f t="shared" si="13"/>
        <v>0</v>
      </c>
      <c r="P171" s="33"/>
      <c r="Q171" s="168">
        <f t="shared" si="14"/>
        <v>0</v>
      </c>
    </row>
    <row r="172" spans="1:17" s="19" customFormat="1" ht="13.5" customHeight="1" hidden="1">
      <c r="A172" s="40" t="s">
        <v>35</v>
      </c>
      <c r="B172" s="40"/>
      <c r="C172" s="40"/>
      <c r="D172" s="41" t="s">
        <v>36</v>
      </c>
      <c r="E172" s="42"/>
      <c r="F172" s="33"/>
      <c r="G172" s="177">
        <f t="shared" si="16"/>
        <v>0</v>
      </c>
      <c r="H172" s="33"/>
      <c r="I172" s="177">
        <f t="shared" si="17"/>
        <v>0</v>
      </c>
      <c r="J172" s="33"/>
      <c r="K172" s="177">
        <f t="shared" si="15"/>
        <v>0</v>
      </c>
      <c r="L172" s="33"/>
      <c r="M172" s="177">
        <f t="shared" si="12"/>
        <v>0</v>
      </c>
      <c r="N172" s="33"/>
      <c r="O172" s="177">
        <f t="shared" si="13"/>
        <v>0</v>
      </c>
      <c r="P172" s="33"/>
      <c r="Q172" s="168">
        <f t="shared" si="14"/>
        <v>0</v>
      </c>
    </row>
    <row r="173" spans="1:17" s="19" customFormat="1" ht="13.5" customHeight="1" hidden="1">
      <c r="A173" s="40" t="s">
        <v>37</v>
      </c>
      <c r="B173" s="40"/>
      <c r="C173" s="40"/>
      <c r="D173" s="41" t="s">
        <v>38</v>
      </c>
      <c r="E173" s="42"/>
      <c r="F173" s="33"/>
      <c r="G173" s="177">
        <f t="shared" si="16"/>
        <v>0</v>
      </c>
      <c r="H173" s="33"/>
      <c r="I173" s="177">
        <f t="shared" si="17"/>
        <v>0</v>
      </c>
      <c r="J173" s="33"/>
      <c r="K173" s="177">
        <f t="shared" si="15"/>
        <v>0</v>
      </c>
      <c r="L173" s="33"/>
      <c r="M173" s="177">
        <f t="shared" si="12"/>
        <v>0</v>
      </c>
      <c r="N173" s="33"/>
      <c r="O173" s="177">
        <f t="shared" si="13"/>
        <v>0</v>
      </c>
      <c r="P173" s="33"/>
      <c r="Q173" s="168">
        <f t="shared" si="14"/>
        <v>0</v>
      </c>
    </row>
    <row r="174" spans="1:17" s="19" customFormat="1" ht="13.5" customHeight="1" hidden="1">
      <c r="A174" s="40" t="s">
        <v>39</v>
      </c>
      <c r="B174" s="40"/>
      <c r="C174" s="40"/>
      <c r="D174" s="41" t="s">
        <v>40</v>
      </c>
      <c r="E174" s="42">
        <v>0</v>
      </c>
      <c r="F174" s="33"/>
      <c r="G174" s="177">
        <f t="shared" si="16"/>
        <v>0</v>
      </c>
      <c r="H174" s="33"/>
      <c r="I174" s="177">
        <f t="shared" si="17"/>
        <v>0</v>
      </c>
      <c r="J174" s="33"/>
      <c r="K174" s="177">
        <f t="shared" si="15"/>
        <v>0</v>
      </c>
      <c r="L174" s="33"/>
      <c r="M174" s="177">
        <f t="shared" si="12"/>
        <v>0</v>
      </c>
      <c r="N174" s="33"/>
      <c r="O174" s="177">
        <f t="shared" si="13"/>
        <v>0</v>
      </c>
      <c r="P174" s="33"/>
      <c r="Q174" s="168">
        <f t="shared" si="14"/>
        <v>0</v>
      </c>
    </row>
    <row r="175" spans="1:17" s="19" customFormat="1" ht="13.5" customHeight="1" hidden="1">
      <c r="A175" s="40" t="s">
        <v>41</v>
      </c>
      <c r="B175" s="40"/>
      <c r="C175" s="40"/>
      <c r="D175" s="41" t="s">
        <v>42</v>
      </c>
      <c r="E175" s="97"/>
      <c r="F175" s="33"/>
      <c r="G175" s="177">
        <f t="shared" si="16"/>
        <v>0</v>
      </c>
      <c r="H175" s="33"/>
      <c r="I175" s="177">
        <f t="shared" si="17"/>
        <v>0</v>
      </c>
      <c r="J175" s="33"/>
      <c r="K175" s="177">
        <f t="shared" si="15"/>
        <v>0</v>
      </c>
      <c r="L175" s="33"/>
      <c r="M175" s="177">
        <f t="shared" si="12"/>
        <v>0</v>
      </c>
      <c r="N175" s="33"/>
      <c r="O175" s="177">
        <f t="shared" si="13"/>
        <v>0</v>
      </c>
      <c r="P175" s="33"/>
      <c r="Q175" s="168">
        <f t="shared" si="14"/>
        <v>0</v>
      </c>
    </row>
    <row r="176" spans="1:17" s="19" customFormat="1" ht="13.5" customHeight="1" hidden="1">
      <c r="A176" s="61"/>
      <c r="B176" s="62"/>
      <c r="C176" s="62"/>
      <c r="D176" s="63"/>
      <c r="E176" s="97"/>
      <c r="F176" s="33"/>
      <c r="G176" s="177">
        <f t="shared" si="16"/>
        <v>0</v>
      </c>
      <c r="H176" s="33"/>
      <c r="I176" s="177">
        <f t="shared" si="17"/>
        <v>0</v>
      </c>
      <c r="J176" s="33"/>
      <c r="K176" s="177">
        <f t="shared" si="15"/>
        <v>0</v>
      </c>
      <c r="L176" s="33"/>
      <c r="M176" s="177">
        <f t="shared" si="12"/>
        <v>0</v>
      </c>
      <c r="N176" s="33"/>
      <c r="O176" s="177">
        <f t="shared" si="13"/>
        <v>0</v>
      </c>
      <c r="P176" s="33"/>
      <c r="Q176" s="168">
        <f t="shared" si="14"/>
        <v>0</v>
      </c>
    </row>
    <row r="177" spans="1:17" s="19" customFormat="1" ht="15.75" customHeight="1">
      <c r="A177" s="338" t="s">
        <v>48</v>
      </c>
      <c r="B177" s="339"/>
      <c r="C177" s="339"/>
      <c r="D177" s="339"/>
      <c r="E177" s="339"/>
      <c r="F177" s="33"/>
      <c r="G177" s="177">
        <f t="shared" si="16"/>
        <v>0</v>
      </c>
      <c r="H177" s="33"/>
      <c r="I177" s="177">
        <f t="shared" si="17"/>
        <v>0</v>
      </c>
      <c r="J177" s="33"/>
      <c r="K177" s="177">
        <f t="shared" si="15"/>
        <v>0</v>
      </c>
      <c r="L177" s="33"/>
      <c r="M177" s="177">
        <f t="shared" si="12"/>
        <v>0</v>
      </c>
      <c r="N177" s="33"/>
      <c r="O177" s="177">
        <f t="shared" si="13"/>
        <v>0</v>
      </c>
      <c r="P177" s="33"/>
      <c r="Q177" s="168">
        <f t="shared" si="14"/>
        <v>0</v>
      </c>
    </row>
    <row r="178" spans="1:17" s="19" customFormat="1" ht="15.75" customHeight="1">
      <c r="A178" s="341" t="s">
        <v>120</v>
      </c>
      <c r="B178" s="341"/>
      <c r="C178" s="341"/>
      <c r="D178" s="341"/>
      <c r="E178" s="338"/>
      <c r="F178" s="33"/>
      <c r="G178" s="177">
        <f t="shared" si="16"/>
        <v>0</v>
      </c>
      <c r="H178" s="33"/>
      <c r="I178" s="177">
        <f t="shared" si="17"/>
        <v>0</v>
      </c>
      <c r="J178" s="33"/>
      <c r="K178" s="177">
        <f t="shared" si="15"/>
        <v>0</v>
      </c>
      <c r="L178" s="33"/>
      <c r="M178" s="177">
        <f t="shared" si="12"/>
        <v>0</v>
      </c>
      <c r="N178" s="33"/>
      <c r="O178" s="177">
        <f t="shared" si="13"/>
        <v>0</v>
      </c>
      <c r="P178" s="33"/>
      <c r="Q178" s="168">
        <f t="shared" si="14"/>
        <v>0</v>
      </c>
    </row>
    <row r="179" spans="1:17" s="19" customFormat="1" ht="13.5" customHeight="1">
      <c r="A179" s="28" t="s">
        <v>29</v>
      </c>
      <c r="B179" s="24"/>
      <c r="C179" s="72"/>
      <c r="D179" s="73"/>
      <c r="E179" s="80">
        <f>SUM(E180:E187)+SUM(E190:E198)</f>
        <v>1234410</v>
      </c>
      <c r="F179" s="33">
        <f>F180+F196</f>
        <v>0</v>
      </c>
      <c r="G179" s="177">
        <f t="shared" si="16"/>
        <v>1234410</v>
      </c>
      <c r="H179" s="33"/>
      <c r="I179" s="177">
        <f t="shared" si="17"/>
        <v>1234410</v>
      </c>
      <c r="J179" s="33"/>
      <c r="K179" s="177">
        <f t="shared" si="15"/>
        <v>1234410</v>
      </c>
      <c r="L179" s="33"/>
      <c r="M179" s="177">
        <f t="shared" si="12"/>
        <v>1234410</v>
      </c>
      <c r="N179" s="33"/>
      <c r="O179" s="177">
        <f t="shared" si="13"/>
        <v>1234410</v>
      </c>
      <c r="P179" s="33"/>
      <c r="Q179" s="168">
        <f t="shared" si="14"/>
        <v>1234410</v>
      </c>
    </row>
    <row r="180" spans="1:17" s="19" customFormat="1" ht="13.5" customHeight="1">
      <c r="A180" s="24" t="s">
        <v>15</v>
      </c>
      <c r="B180" s="24"/>
      <c r="C180" s="72">
        <v>111</v>
      </c>
      <c r="D180" s="73">
        <v>211</v>
      </c>
      <c r="E180" s="79">
        <v>815900</v>
      </c>
      <c r="F180" s="33">
        <v>-1260</v>
      </c>
      <c r="G180" s="177">
        <f t="shared" si="16"/>
        <v>814640</v>
      </c>
      <c r="H180" s="33"/>
      <c r="I180" s="177">
        <f t="shared" si="17"/>
        <v>814640</v>
      </c>
      <c r="J180" s="33"/>
      <c r="K180" s="177">
        <f t="shared" si="15"/>
        <v>814640</v>
      </c>
      <c r="L180" s="33"/>
      <c r="M180" s="177">
        <f t="shared" si="12"/>
        <v>814640</v>
      </c>
      <c r="N180" s="33"/>
      <c r="O180" s="177">
        <f t="shared" si="13"/>
        <v>814640</v>
      </c>
      <c r="P180" s="33"/>
      <c r="Q180" s="168">
        <f t="shared" si="14"/>
        <v>814640</v>
      </c>
    </row>
    <row r="181" spans="1:17" s="19" customFormat="1" ht="13.5" customHeight="1" hidden="1">
      <c r="A181" s="24" t="s">
        <v>16</v>
      </c>
      <c r="B181" s="24"/>
      <c r="C181" s="72">
        <v>112</v>
      </c>
      <c r="D181" s="73">
        <v>212</v>
      </c>
      <c r="E181" s="79"/>
      <c r="F181" s="33"/>
      <c r="G181" s="177">
        <f t="shared" si="16"/>
        <v>0</v>
      </c>
      <c r="H181" s="33"/>
      <c r="I181" s="177">
        <f t="shared" si="17"/>
        <v>0</v>
      </c>
      <c r="J181" s="33"/>
      <c r="K181" s="177">
        <f t="shared" si="15"/>
        <v>0</v>
      </c>
      <c r="L181" s="33"/>
      <c r="M181" s="177">
        <f t="shared" si="12"/>
        <v>0</v>
      </c>
      <c r="N181" s="33"/>
      <c r="O181" s="177">
        <f t="shared" si="13"/>
        <v>0</v>
      </c>
      <c r="P181" s="33"/>
      <c r="Q181" s="168">
        <f t="shared" si="14"/>
        <v>0</v>
      </c>
    </row>
    <row r="182" spans="1:17" s="19" customFormat="1" ht="13.5" customHeight="1">
      <c r="A182" s="24" t="s">
        <v>17</v>
      </c>
      <c r="B182" s="24"/>
      <c r="C182" s="72">
        <v>119</v>
      </c>
      <c r="D182" s="73">
        <v>213</v>
      </c>
      <c r="E182" s="79">
        <v>242308</v>
      </c>
      <c r="F182" s="33"/>
      <c r="G182" s="177">
        <f t="shared" si="16"/>
        <v>242308</v>
      </c>
      <c r="H182" s="33"/>
      <c r="I182" s="177">
        <f t="shared" si="17"/>
        <v>242308</v>
      </c>
      <c r="J182" s="33"/>
      <c r="K182" s="177">
        <f t="shared" si="15"/>
        <v>242308</v>
      </c>
      <c r="L182" s="33"/>
      <c r="M182" s="177">
        <f t="shared" si="12"/>
        <v>242308</v>
      </c>
      <c r="N182" s="33"/>
      <c r="O182" s="177">
        <f t="shared" si="13"/>
        <v>242308</v>
      </c>
      <c r="P182" s="33"/>
      <c r="Q182" s="168">
        <f t="shared" si="14"/>
        <v>242308</v>
      </c>
    </row>
    <row r="183" spans="1:17" s="19" customFormat="1" ht="13.5" customHeight="1" hidden="1">
      <c r="A183" s="24" t="s">
        <v>18</v>
      </c>
      <c r="B183" s="24"/>
      <c r="C183" s="72">
        <v>242</v>
      </c>
      <c r="D183" s="73">
        <v>221</v>
      </c>
      <c r="E183" s="79"/>
      <c r="F183" s="33"/>
      <c r="G183" s="177">
        <f t="shared" si="16"/>
        <v>0</v>
      </c>
      <c r="H183" s="33"/>
      <c r="I183" s="177">
        <f t="shared" si="17"/>
        <v>0</v>
      </c>
      <c r="J183" s="33"/>
      <c r="K183" s="177">
        <f t="shared" si="15"/>
        <v>0</v>
      </c>
      <c r="L183" s="33"/>
      <c r="M183" s="177">
        <f t="shared" si="12"/>
        <v>0</v>
      </c>
      <c r="N183" s="33"/>
      <c r="O183" s="177">
        <f t="shared" si="13"/>
        <v>0</v>
      </c>
      <c r="P183" s="33"/>
      <c r="Q183" s="168">
        <f t="shared" si="14"/>
        <v>0</v>
      </c>
    </row>
    <row r="184" spans="1:17" s="19" customFormat="1" ht="13.5" customHeight="1">
      <c r="A184" s="24" t="s">
        <v>18</v>
      </c>
      <c r="B184" s="24"/>
      <c r="C184" s="72">
        <v>244</v>
      </c>
      <c r="D184" s="73">
        <v>221</v>
      </c>
      <c r="E184" s="79">
        <f>3000+550</f>
        <v>3550</v>
      </c>
      <c r="F184" s="33"/>
      <c r="G184" s="177">
        <f t="shared" si="16"/>
        <v>3550</v>
      </c>
      <c r="H184" s="33"/>
      <c r="I184" s="177">
        <f t="shared" si="17"/>
        <v>3550</v>
      </c>
      <c r="J184" s="33"/>
      <c r="K184" s="177">
        <f t="shared" si="15"/>
        <v>3550</v>
      </c>
      <c r="L184" s="33"/>
      <c r="M184" s="177">
        <f t="shared" si="12"/>
        <v>3550</v>
      </c>
      <c r="N184" s="33"/>
      <c r="O184" s="177">
        <f t="shared" si="13"/>
        <v>3550</v>
      </c>
      <c r="P184" s="33"/>
      <c r="Q184" s="168">
        <f t="shared" si="14"/>
        <v>3550</v>
      </c>
    </row>
    <row r="185" spans="1:17" s="19" customFormat="1" ht="13.5" customHeight="1" hidden="1">
      <c r="A185" s="24" t="s">
        <v>19</v>
      </c>
      <c r="B185" s="24"/>
      <c r="C185" s="72">
        <v>244</v>
      </c>
      <c r="D185" s="73">
        <v>222</v>
      </c>
      <c r="E185" s="79"/>
      <c r="F185" s="33"/>
      <c r="G185" s="177">
        <f t="shared" si="16"/>
        <v>0</v>
      </c>
      <c r="H185" s="33"/>
      <c r="I185" s="177">
        <f t="shared" si="17"/>
        <v>0</v>
      </c>
      <c r="J185" s="33"/>
      <c r="K185" s="177">
        <f t="shared" si="15"/>
        <v>0</v>
      </c>
      <c r="L185" s="33"/>
      <c r="M185" s="177">
        <f t="shared" si="12"/>
        <v>0</v>
      </c>
      <c r="N185" s="33"/>
      <c r="O185" s="177">
        <f t="shared" si="13"/>
        <v>0</v>
      </c>
      <c r="P185" s="33"/>
      <c r="Q185" s="168">
        <f t="shared" si="14"/>
        <v>0</v>
      </c>
    </row>
    <row r="186" spans="1:17" s="19" customFormat="1" ht="13.5" customHeight="1" hidden="1">
      <c r="A186" s="24" t="s">
        <v>19</v>
      </c>
      <c r="B186" s="24"/>
      <c r="C186" s="72">
        <v>112</v>
      </c>
      <c r="D186" s="73">
        <v>222</v>
      </c>
      <c r="E186" s="79"/>
      <c r="F186" s="33"/>
      <c r="G186" s="177">
        <f t="shared" si="16"/>
        <v>0</v>
      </c>
      <c r="H186" s="33"/>
      <c r="I186" s="177">
        <f t="shared" si="17"/>
        <v>0</v>
      </c>
      <c r="J186" s="33"/>
      <c r="K186" s="177">
        <f t="shared" si="15"/>
        <v>0</v>
      </c>
      <c r="L186" s="33"/>
      <c r="M186" s="177">
        <f t="shared" si="12"/>
        <v>0</v>
      </c>
      <c r="N186" s="33"/>
      <c r="O186" s="177">
        <f t="shared" si="13"/>
        <v>0</v>
      </c>
      <c r="P186" s="33"/>
      <c r="Q186" s="168">
        <f t="shared" si="14"/>
        <v>0</v>
      </c>
    </row>
    <row r="187" spans="1:17" s="19" customFormat="1" ht="13.5" customHeight="1">
      <c r="A187" s="24" t="s">
        <v>20</v>
      </c>
      <c r="B187" s="24"/>
      <c r="C187" s="72">
        <v>244</v>
      </c>
      <c r="D187" s="73">
        <v>223</v>
      </c>
      <c r="E187" s="79">
        <f>E188+E189</f>
        <v>5000</v>
      </c>
      <c r="F187" s="33"/>
      <c r="G187" s="177">
        <f t="shared" si="16"/>
        <v>5000</v>
      </c>
      <c r="H187" s="33"/>
      <c r="I187" s="177">
        <f t="shared" si="17"/>
        <v>5000</v>
      </c>
      <c r="J187" s="33"/>
      <c r="K187" s="177">
        <f t="shared" si="15"/>
        <v>5000</v>
      </c>
      <c r="L187" s="33"/>
      <c r="M187" s="177">
        <f t="shared" si="12"/>
        <v>5000</v>
      </c>
      <c r="N187" s="33"/>
      <c r="O187" s="177">
        <f t="shared" si="13"/>
        <v>5000</v>
      </c>
      <c r="P187" s="33"/>
      <c r="Q187" s="168">
        <f t="shared" si="14"/>
        <v>5000</v>
      </c>
    </row>
    <row r="188" spans="1:17" s="19" customFormat="1" ht="13.5" customHeight="1">
      <c r="A188" s="24"/>
      <c r="B188" s="24"/>
      <c r="C188" s="72">
        <v>244</v>
      </c>
      <c r="D188" s="73" t="s">
        <v>30</v>
      </c>
      <c r="E188" s="79">
        <v>2500</v>
      </c>
      <c r="F188" s="33"/>
      <c r="G188" s="177">
        <f t="shared" si="16"/>
        <v>2500</v>
      </c>
      <c r="H188" s="33"/>
      <c r="I188" s="177">
        <f t="shared" si="17"/>
        <v>2500</v>
      </c>
      <c r="J188" s="33"/>
      <c r="K188" s="177">
        <f t="shared" si="15"/>
        <v>2500</v>
      </c>
      <c r="L188" s="33"/>
      <c r="M188" s="177">
        <f t="shared" si="12"/>
        <v>2500</v>
      </c>
      <c r="N188" s="33"/>
      <c r="O188" s="177">
        <f t="shared" si="13"/>
        <v>2500</v>
      </c>
      <c r="P188" s="33"/>
      <c r="Q188" s="168">
        <f t="shared" si="14"/>
        <v>2500</v>
      </c>
    </row>
    <row r="189" spans="1:17" s="19" customFormat="1" ht="13.5" customHeight="1">
      <c r="A189" s="24"/>
      <c r="B189" s="24"/>
      <c r="C189" s="72">
        <v>244</v>
      </c>
      <c r="D189" s="73" t="s">
        <v>31</v>
      </c>
      <c r="E189" s="79">
        <v>2500</v>
      </c>
      <c r="F189" s="33"/>
      <c r="G189" s="177">
        <f t="shared" si="16"/>
        <v>2500</v>
      </c>
      <c r="H189" s="33"/>
      <c r="I189" s="177">
        <f t="shared" si="17"/>
        <v>2500</v>
      </c>
      <c r="J189" s="33"/>
      <c r="K189" s="177">
        <f t="shared" si="15"/>
        <v>2500</v>
      </c>
      <c r="L189" s="33"/>
      <c r="M189" s="177">
        <f t="shared" si="12"/>
        <v>2500</v>
      </c>
      <c r="N189" s="33"/>
      <c r="O189" s="177">
        <f t="shared" si="13"/>
        <v>2500</v>
      </c>
      <c r="P189" s="33"/>
      <c r="Q189" s="168">
        <f t="shared" si="14"/>
        <v>2500</v>
      </c>
    </row>
    <row r="190" spans="1:17" s="19" customFormat="1" ht="13.5" customHeight="1" hidden="1">
      <c r="A190" s="24" t="s">
        <v>21</v>
      </c>
      <c r="B190" s="24"/>
      <c r="C190" s="72"/>
      <c r="D190" s="73">
        <v>224</v>
      </c>
      <c r="E190" s="79"/>
      <c r="F190" s="33"/>
      <c r="G190" s="177">
        <f t="shared" si="16"/>
        <v>0</v>
      </c>
      <c r="H190" s="33"/>
      <c r="I190" s="177">
        <f t="shared" si="17"/>
        <v>0</v>
      </c>
      <c r="J190" s="33"/>
      <c r="K190" s="177">
        <f t="shared" si="15"/>
        <v>0</v>
      </c>
      <c r="L190" s="33"/>
      <c r="M190" s="177">
        <f t="shared" si="12"/>
        <v>0</v>
      </c>
      <c r="N190" s="33"/>
      <c r="O190" s="177">
        <f t="shared" si="13"/>
        <v>0</v>
      </c>
      <c r="P190" s="33"/>
      <c r="Q190" s="168">
        <f t="shared" si="14"/>
        <v>0</v>
      </c>
    </row>
    <row r="191" spans="1:17" s="19" customFormat="1" ht="13.5" customHeight="1" hidden="1">
      <c r="A191" s="24" t="s">
        <v>22</v>
      </c>
      <c r="B191" s="24"/>
      <c r="C191" s="72"/>
      <c r="D191" s="73">
        <v>225</v>
      </c>
      <c r="E191" s="79"/>
      <c r="F191" s="33"/>
      <c r="G191" s="177">
        <f t="shared" si="16"/>
        <v>0</v>
      </c>
      <c r="H191" s="33"/>
      <c r="I191" s="177">
        <f t="shared" si="17"/>
        <v>0</v>
      </c>
      <c r="J191" s="33"/>
      <c r="K191" s="177">
        <f t="shared" si="15"/>
        <v>0</v>
      </c>
      <c r="L191" s="33"/>
      <c r="M191" s="177">
        <f t="shared" si="12"/>
        <v>0</v>
      </c>
      <c r="N191" s="33"/>
      <c r="O191" s="177">
        <f t="shared" si="13"/>
        <v>0</v>
      </c>
      <c r="P191" s="33"/>
      <c r="Q191" s="168">
        <f t="shared" si="14"/>
        <v>0</v>
      </c>
    </row>
    <row r="192" spans="1:17" s="19" customFormat="1" ht="13.5" customHeight="1">
      <c r="A192" s="24" t="s">
        <v>23</v>
      </c>
      <c r="B192" s="24"/>
      <c r="C192" s="72">
        <v>244</v>
      </c>
      <c r="D192" s="73">
        <v>226</v>
      </c>
      <c r="E192" s="79">
        <v>153652</v>
      </c>
      <c r="F192" s="33"/>
      <c r="G192" s="177">
        <f t="shared" si="16"/>
        <v>153652</v>
      </c>
      <c r="H192" s="33"/>
      <c r="I192" s="177">
        <f t="shared" si="17"/>
        <v>153652</v>
      </c>
      <c r="J192" s="33"/>
      <c r="K192" s="177">
        <f t="shared" si="15"/>
        <v>153652</v>
      </c>
      <c r="L192" s="33"/>
      <c r="M192" s="177">
        <f t="shared" si="12"/>
        <v>153652</v>
      </c>
      <c r="N192" s="33"/>
      <c r="O192" s="177">
        <f t="shared" si="13"/>
        <v>153652</v>
      </c>
      <c r="P192" s="33"/>
      <c r="Q192" s="168">
        <f t="shared" si="14"/>
        <v>153652</v>
      </c>
    </row>
    <row r="193" spans="1:17" s="19" customFormat="1" ht="13.5" customHeight="1" hidden="1">
      <c r="A193" s="24" t="s">
        <v>34</v>
      </c>
      <c r="B193" s="24"/>
      <c r="C193" s="72"/>
      <c r="D193" s="73">
        <v>262</v>
      </c>
      <c r="E193" s="79"/>
      <c r="F193" s="33"/>
      <c r="G193" s="177">
        <f t="shared" si="16"/>
        <v>0</v>
      </c>
      <c r="H193" s="33"/>
      <c r="I193" s="177">
        <f t="shared" si="17"/>
        <v>0</v>
      </c>
      <c r="J193" s="33"/>
      <c r="K193" s="177">
        <f t="shared" si="15"/>
        <v>0</v>
      </c>
      <c r="L193" s="33"/>
      <c r="M193" s="177">
        <f t="shared" si="12"/>
        <v>0</v>
      </c>
      <c r="N193" s="33"/>
      <c r="O193" s="177">
        <f t="shared" si="13"/>
        <v>0</v>
      </c>
      <c r="P193" s="33"/>
      <c r="Q193" s="168">
        <f t="shared" si="14"/>
        <v>0</v>
      </c>
    </row>
    <row r="194" spans="1:17" s="19" customFormat="1" ht="13.5" customHeight="1" hidden="1">
      <c r="A194" s="24" t="s">
        <v>26</v>
      </c>
      <c r="B194" s="24"/>
      <c r="C194" s="72">
        <v>852</v>
      </c>
      <c r="D194" s="73">
        <v>290</v>
      </c>
      <c r="E194" s="79"/>
      <c r="F194" s="33"/>
      <c r="G194" s="177">
        <f t="shared" si="16"/>
        <v>0</v>
      </c>
      <c r="H194" s="33"/>
      <c r="I194" s="177">
        <f t="shared" si="17"/>
        <v>0</v>
      </c>
      <c r="J194" s="33"/>
      <c r="K194" s="177">
        <f t="shared" si="15"/>
        <v>0</v>
      </c>
      <c r="L194" s="33"/>
      <c r="M194" s="177">
        <f t="shared" si="12"/>
        <v>0</v>
      </c>
      <c r="N194" s="33"/>
      <c r="O194" s="177">
        <f t="shared" si="13"/>
        <v>0</v>
      </c>
      <c r="P194" s="33"/>
      <c r="Q194" s="168">
        <f t="shared" si="14"/>
        <v>0</v>
      </c>
    </row>
    <row r="195" spans="1:17" s="19" customFormat="1" ht="13.5" customHeight="1">
      <c r="A195" s="24" t="s">
        <v>26</v>
      </c>
      <c r="B195" s="24"/>
      <c r="C195" s="72">
        <v>853</v>
      </c>
      <c r="D195" s="73">
        <v>290</v>
      </c>
      <c r="E195" s="79">
        <v>2000</v>
      </c>
      <c r="F195" s="33"/>
      <c r="G195" s="177">
        <f t="shared" si="16"/>
        <v>2000</v>
      </c>
      <c r="H195" s="33"/>
      <c r="I195" s="177">
        <f t="shared" si="17"/>
        <v>2000</v>
      </c>
      <c r="J195" s="33"/>
      <c r="K195" s="177">
        <f t="shared" si="15"/>
        <v>2000</v>
      </c>
      <c r="L195" s="33"/>
      <c r="M195" s="177">
        <f t="shared" si="12"/>
        <v>2000</v>
      </c>
      <c r="N195" s="33"/>
      <c r="O195" s="177">
        <f t="shared" si="13"/>
        <v>2000</v>
      </c>
      <c r="P195" s="33"/>
      <c r="Q195" s="168">
        <f t="shared" si="14"/>
        <v>2000</v>
      </c>
    </row>
    <row r="196" spans="1:17" s="19" customFormat="1" ht="13.5" customHeight="1">
      <c r="A196" s="24" t="s">
        <v>26</v>
      </c>
      <c r="B196" s="24"/>
      <c r="C196" s="72">
        <v>244</v>
      </c>
      <c r="D196" s="73">
        <v>290</v>
      </c>
      <c r="E196" s="79"/>
      <c r="F196" s="33">
        <v>1260</v>
      </c>
      <c r="G196" s="177">
        <f t="shared" si="16"/>
        <v>1260</v>
      </c>
      <c r="H196" s="33"/>
      <c r="I196" s="177">
        <f t="shared" si="17"/>
        <v>1260</v>
      </c>
      <c r="J196" s="33"/>
      <c r="K196" s="177">
        <f t="shared" si="15"/>
        <v>1260</v>
      </c>
      <c r="L196" s="33"/>
      <c r="M196" s="177">
        <f t="shared" si="12"/>
        <v>1260</v>
      </c>
      <c r="N196" s="33"/>
      <c r="O196" s="177">
        <f t="shared" si="13"/>
        <v>1260</v>
      </c>
      <c r="P196" s="33"/>
      <c r="Q196" s="168">
        <f t="shared" si="14"/>
        <v>1260</v>
      </c>
    </row>
    <row r="197" spans="1:17" s="19" customFormat="1" ht="24.75" customHeight="1" hidden="1">
      <c r="A197" s="24" t="s">
        <v>26</v>
      </c>
      <c r="B197" s="24"/>
      <c r="C197" s="72">
        <v>244</v>
      </c>
      <c r="D197" s="73">
        <v>310</v>
      </c>
      <c r="E197" s="79"/>
      <c r="F197" s="33"/>
      <c r="G197" s="177">
        <f t="shared" si="16"/>
        <v>0</v>
      </c>
      <c r="H197" s="33"/>
      <c r="I197" s="177">
        <f t="shared" si="17"/>
        <v>0</v>
      </c>
      <c r="J197" s="33"/>
      <c r="K197" s="177">
        <f t="shared" si="15"/>
        <v>0</v>
      </c>
      <c r="L197" s="33"/>
      <c r="M197" s="177">
        <f t="shared" si="12"/>
        <v>0</v>
      </c>
      <c r="N197" s="33"/>
      <c r="O197" s="177">
        <f t="shared" si="13"/>
        <v>0</v>
      </c>
      <c r="P197" s="33"/>
      <c r="Q197" s="168">
        <f t="shared" si="14"/>
        <v>0</v>
      </c>
    </row>
    <row r="198" spans="1:17" s="19" customFormat="1" ht="24.75" customHeight="1">
      <c r="A198" s="24" t="s">
        <v>44</v>
      </c>
      <c r="B198" s="24"/>
      <c r="C198" s="72">
        <v>244</v>
      </c>
      <c r="D198" s="73">
        <v>340</v>
      </c>
      <c r="E198" s="79">
        <v>12000</v>
      </c>
      <c r="F198" s="33"/>
      <c r="G198" s="177">
        <f t="shared" si="16"/>
        <v>12000</v>
      </c>
      <c r="H198" s="33"/>
      <c r="I198" s="177">
        <f t="shared" si="17"/>
        <v>12000</v>
      </c>
      <c r="J198" s="33"/>
      <c r="K198" s="177">
        <f t="shared" si="15"/>
        <v>12000</v>
      </c>
      <c r="L198" s="33"/>
      <c r="M198" s="177">
        <f t="shared" si="12"/>
        <v>12000</v>
      </c>
      <c r="N198" s="33"/>
      <c r="O198" s="177">
        <f t="shared" si="13"/>
        <v>12000</v>
      </c>
      <c r="P198" s="33"/>
      <c r="Q198" s="168">
        <f t="shared" si="14"/>
        <v>12000</v>
      </c>
    </row>
    <row r="199" spans="1:15" s="19" customFormat="1" ht="13.5" customHeight="1" hidden="1">
      <c r="A199" s="24" t="s">
        <v>35</v>
      </c>
      <c r="B199" s="24"/>
      <c r="C199" s="72"/>
      <c r="D199" s="73" t="s">
        <v>36</v>
      </c>
      <c r="E199" s="74"/>
      <c r="O199" s="168">
        <f t="shared" si="13"/>
        <v>0</v>
      </c>
    </row>
    <row r="200" spans="1:15" s="19" customFormat="1" ht="13.5" customHeight="1" hidden="1">
      <c r="A200" s="24" t="s">
        <v>37</v>
      </c>
      <c r="B200" s="24"/>
      <c r="C200" s="72">
        <v>244</v>
      </c>
      <c r="D200" s="73" t="s">
        <v>38</v>
      </c>
      <c r="E200" s="74"/>
      <c r="O200" s="168">
        <f t="shared" si="13"/>
        <v>0</v>
      </c>
    </row>
    <row r="201" spans="1:15" s="19" customFormat="1" ht="13.5" customHeight="1" hidden="1">
      <c r="A201" s="24" t="s">
        <v>39</v>
      </c>
      <c r="B201" s="24"/>
      <c r="C201" s="72">
        <v>244</v>
      </c>
      <c r="D201" s="73" t="s">
        <v>40</v>
      </c>
      <c r="E201" s="74">
        <v>5000</v>
      </c>
      <c r="O201" s="168">
        <f t="shared" si="13"/>
        <v>0</v>
      </c>
    </row>
    <row r="202" spans="1:15" s="19" customFormat="1" ht="13.5" customHeight="1" hidden="1">
      <c r="A202" s="24" t="s">
        <v>41</v>
      </c>
      <c r="B202" s="24"/>
      <c r="C202" s="72">
        <v>244</v>
      </c>
      <c r="D202" s="73" t="s">
        <v>42</v>
      </c>
      <c r="E202" s="74">
        <v>10000</v>
      </c>
      <c r="O202" s="168">
        <f>M202+N202</f>
        <v>0</v>
      </c>
    </row>
    <row r="203" spans="1:5" ht="13.5" customHeight="1">
      <c r="A203" s="13"/>
      <c r="B203" s="13"/>
      <c r="C203" s="13"/>
      <c r="D203" s="14"/>
      <c r="E203" s="15"/>
    </row>
    <row r="204" spans="1:5" ht="12.75">
      <c r="A204" s="16" t="s">
        <v>45</v>
      </c>
      <c r="B204" s="16"/>
      <c r="C204" s="16"/>
      <c r="D204" s="17"/>
      <c r="E204" s="18"/>
    </row>
    <row r="205" spans="1:5" ht="14.25" customHeight="1">
      <c r="A205" s="16" t="s">
        <v>46</v>
      </c>
      <c r="B205" s="16"/>
      <c r="C205" s="16"/>
      <c r="E205" s="18"/>
    </row>
    <row r="206" spans="1:5" ht="12.75">
      <c r="A206" s="7"/>
      <c r="B206" s="7"/>
      <c r="C206" s="7"/>
      <c r="D206" s="6"/>
      <c r="E206" s="7"/>
    </row>
    <row r="207" spans="1:5" ht="12.75">
      <c r="A207" s="7"/>
      <c r="B207" s="7"/>
      <c r="C207" s="7"/>
      <c r="D207" s="6"/>
      <c r="E207" s="7"/>
    </row>
    <row r="208" spans="1:5" ht="12.75">
      <c r="A208" s="7"/>
      <c r="B208" s="7"/>
      <c r="C208" s="7"/>
      <c r="D208" s="6"/>
      <c r="E208" s="7"/>
    </row>
  </sheetData>
  <sheetProtection/>
  <mergeCells count="29">
    <mergeCell ref="A178:E178"/>
    <mergeCell ref="B6:B8"/>
    <mergeCell ref="A84:E84"/>
    <mergeCell ref="E6:E7"/>
    <mergeCell ref="A132:D132"/>
    <mergeCell ref="A177:E177"/>
    <mergeCell ref="A161:D161"/>
    <mergeCell ref="A150:D150"/>
    <mergeCell ref="A50:E50"/>
    <mergeCell ref="A139:D139"/>
    <mergeCell ref="A119:D119"/>
    <mergeCell ref="L6:L7"/>
    <mergeCell ref="M6:M7"/>
    <mergeCell ref="J6:J7"/>
    <mergeCell ref="I6:I7"/>
    <mergeCell ref="A127:D127"/>
    <mergeCell ref="A79:E79"/>
    <mergeCell ref="Q6:Q7"/>
    <mergeCell ref="F6:F7"/>
    <mergeCell ref="K6:K7"/>
    <mergeCell ref="H6:H7"/>
    <mergeCell ref="N6:N7"/>
    <mergeCell ref="O6:O7"/>
    <mergeCell ref="P6:P7"/>
    <mergeCell ref="G6:G7"/>
    <mergeCell ref="A4:E4"/>
    <mergeCell ref="A6:A8"/>
    <mergeCell ref="D6:D8"/>
    <mergeCell ref="C6:C8"/>
  </mergeCells>
  <printOptions/>
  <pageMargins left="0.1968503937007874" right="0" top="0.7874015748031497" bottom="0.3937007874015748" header="0.5118110236220472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63">
      <selection activeCell="H138" sqref="H138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412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18622396</v>
      </c>
      <c r="I14" s="115">
        <f>I20</f>
        <v>16907300</v>
      </c>
      <c r="J14" s="115"/>
      <c r="K14" s="115">
        <f>K26</f>
        <v>366246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16907300</v>
      </c>
      <c r="I20" s="121">
        <f>I21+I22+I23</f>
        <v>16907300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298" t="s">
        <v>156</v>
      </c>
      <c r="E22" s="326"/>
      <c r="F22" s="387"/>
      <c r="G22" s="391"/>
      <c r="H22" s="121">
        <f>I22</f>
        <v>4316200</v>
      </c>
      <c r="I22" s="299">
        <f>4056100+260100</f>
        <v>4316200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300" t="s">
        <v>53</v>
      </c>
      <c r="D23" s="124" t="s">
        <v>150</v>
      </c>
      <c r="E23" s="128"/>
      <c r="F23" s="120">
        <v>131</v>
      </c>
      <c r="G23" s="124"/>
      <c r="H23" s="121">
        <f>I23</f>
        <v>789300</v>
      </c>
      <c r="I23" s="299">
        <f>651400+137900</f>
        <v>789300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366246</v>
      </c>
      <c r="I26" s="173" t="s">
        <v>146</v>
      </c>
      <c r="J26" s="172"/>
      <c r="K26" s="173">
        <f>K32+K31+K30</f>
        <v>366246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245000</v>
      </c>
      <c r="I30" s="121"/>
      <c r="J30" s="121"/>
      <c r="K30" s="121">
        <f>170000+75000</f>
        <v>245000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301" t="s">
        <v>78</v>
      </c>
      <c r="D32" s="301" t="s">
        <v>150</v>
      </c>
      <c r="E32" s="301"/>
      <c r="F32" s="302" t="s">
        <v>337</v>
      </c>
      <c r="G32" s="301"/>
      <c r="H32" s="299">
        <f>K32</f>
        <v>21246</v>
      </c>
      <c r="I32" s="299"/>
      <c r="J32" s="299"/>
      <c r="K32" s="299">
        <f>21508+2491-2753</f>
        <v>21246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18641182.17</v>
      </c>
      <c r="I33" s="138">
        <f>I57+I75+I91</f>
        <v>16907300</v>
      </c>
      <c r="J33" s="138"/>
      <c r="K33" s="138">
        <f>K110+K108+K106</f>
        <v>366246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12614100</v>
      </c>
      <c r="I34" s="121">
        <f>I58+I59+I60</f>
        <v>12189100</v>
      </c>
      <c r="J34" s="121"/>
      <c r="K34" s="121">
        <v>0</v>
      </c>
      <c r="L34" s="121"/>
      <c r="M34" s="121"/>
      <c r="N34" s="121">
        <f>N115+N116</f>
        <v>425000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16380600</v>
      </c>
      <c r="I35" s="121">
        <f>I58+I59+I61+I62</f>
        <v>15865600</v>
      </c>
      <c r="J35" s="121"/>
      <c r="K35" s="121">
        <v>0</v>
      </c>
      <c r="L35" s="121"/>
      <c r="M35" s="121"/>
      <c r="N35" s="121">
        <f>N115+N117</f>
        <v>515000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12591100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452300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16118000</v>
      </c>
      <c r="I57" s="148">
        <f>I58+I60+I61+I63+I64+I68+I72+I74+I59+I62+I71</f>
        <v>16118000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298" t="s">
        <v>156</v>
      </c>
      <c r="E59" s="394"/>
      <c r="F59" s="394"/>
      <c r="G59" s="394"/>
      <c r="H59" s="121">
        <f>I59</f>
        <v>3317100</v>
      </c>
      <c r="I59" s="299">
        <f>3115300+201800</f>
        <v>3317100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298" t="s">
        <v>156</v>
      </c>
      <c r="E62" s="394"/>
      <c r="F62" s="394"/>
      <c r="G62" s="394"/>
      <c r="H62" s="121">
        <f t="shared" si="0"/>
        <v>999100</v>
      </c>
      <c r="I62" s="299">
        <f>940800+58300</f>
        <v>999100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789300</v>
      </c>
      <c r="I75" s="148">
        <f>I81+I83+I84+I87+I88+I90</f>
        <v>789300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301" t="s">
        <v>183</v>
      </c>
      <c r="G81" s="301" t="s">
        <v>195</v>
      </c>
      <c r="H81" s="299">
        <f>I81</f>
        <v>452300</v>
      </c>
      <c r="I81" s="299">
        <f>314400+137900</f>
        <v>452300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245000</v>
      </c>
      <c r="I106" s="133"/>
      <c r="J106" s="133"/>
      <c r="K106" s="148">
        <f>K107</f>
        <v>245000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245000</v>
      </c>
      <c r="I107" s="121"/>
      <c r="J107" s="121"/>
      <c r="K107" s="121">
        <f>170000+75000</f>
        <v>245000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21246</v>
      </c>
      <c r="I110" s="133"/>
      <c r="J110" s="133"/>
      <c r="K110" s="148">
        <f>K112+K113+K111</f>
        <v>21246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2491</v>
      </c>
      <c r="I111" s="121"/>
      <c r="J111" s="121"/>
      <c r="K111" s="299">
        <f>2753-262</f>
        <v>2491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16080</v>
      </c>
      <c r="I112" s="121"/>
      <c r="J112" s="121"/>
      <c r="K112" s="299">
        <f>16080+2491-2491</f>
        <v>16080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415000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299">
        <f>815000-200000-200000</f>
        <v>415000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100000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f>250000-150000</f>
        <v>100000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24000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f>4000+20000</f>
        <v>24000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25000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f>5000+20000</f>
        <v>25000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20000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299">
        <f>10000+10000</f>
        <v>20000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95000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299">
        <f>30000+65000</f>
        <v>95000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65772.75</v>
      </c>
      <c r="I124" s="125"/>
      <c r="J124" s="125"/>
      <c r="K124" s="125"/>
      <c r="L124" s="125"/>
      <c r="M124" s="125"/>
      <c r="N124" s="121">
        <f>63882.75+1890</f>
        <v>65772.75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158786.16999999998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299">
        <f>115000+18786.17+25000</f>
        <v>158786.16999999998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288710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18500+4210+200000+66000</f>
        <v>288710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21">
        <f>1890-1890</f>
        <v>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161790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299">
        <f>17000+790+44000+100000</f>
        <v>161790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16637100</v>
      </c>
      <c r="I135" s="154">
        <f>I58+I59+I60+I61+I62</f>
        <v>15867100</v>
      </c>
      <c r="J135" s="154"/>
      <c r="K135" s="154">
        <f>K107</f>
        <v>245000</v>
      </c>
      <c r="L135" s="155" t="s">
        <v>146</v>
      </c>
      <c r="M135" s="155" t="s">
        <v>146</v>
      </c>
      <c r="N135" s="154">
        <f>N115+N116+N117</f>
        <v>525000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2004082.17</v>
      </c>
      <c r="I136" s="158">
        <f>I138+I137</f>
        <v>1040200</v>
      </c>
      <c r="J136" s="158">
        <f>J138+J137</f>
        <v>0</v>
      </c>
      <c r="K136" s="158">
        <f>K138+K137</f>
        <v>121246</v>
      </c>
      <c r="L136" s="159"/>
      <c r="M136" s="159"/>
      <c r="N136" s="158">
        <f>N138+N137</f>
        <v>842636.1699999999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2004082.17</v>
      </c>
      <c r="I138" s="154">
        <f>I63+I64+I68+I72+I81+I83+I84+I88+I90+I74</f>
        <v>1040200</v>
      </c>
      <c r="J138" s="154"/>
      <c r="K138" s="154">
        <f>K109+K111+K112+K113</f>
        <v>121246</v>
      </c>
      <c r="L138" s="155" t="s">
        <v>146</v>
      </c>
      <c r="M138" s="155" t="s">
        <v>146</v>
      </c>
      <c r="N138" s="154">
        <f>N118+N119+N121+N123+N125+N127+N129+N132+N124+N130+N131</f>
        <v>842636.1699999999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3:O3"/>
    <mergeCell ref="B4:M4"/>
    <mergeCell ref="N4:O4"/>
    <mergeCell ref="A6:A8"/>
    <mergeCell ref="B6:B8"/>
    <mergeCell ref="C6:C8"/>
    <mergeCell ref="D6:D8"/>
    <mergeCell ref="E6:E8"/>
    <mergeCell ref="H6:O6"/>
    <mergeCell ref="H7:H8"/>
    <mergeCell ref="I7:O7"/>
    <mergeCell ref="N8:O8"/>
    <mergeCell ref="B20:B23"/>
    <mergeCell ref="J20:J21"/>
    <mergeCell ref="G21:G22"/>
    <mergeCell ref="F6:F8"/>
    <mergeCell ref="G6:G8"/>
    <mergeCell ref="B15:B19"/>
    <mergeCell ref="C16:C19"/>
    <mergeCell ref="A21:A22"/>
    <mergeCell ref="C21:C22"/>
    <mergeCell ref="E21:E22"/>
    <mergeCell ref="F21:F22"/>
    <mergeCell ref="A57:B57"/>
    <mergeCell ref="A58:A59"/>
    <mergeCell ref="B58:B59"/>
    <mergeCell ref="C58:C59"/>
    <mergeCell ref="A114:B114"/>
    <mergeCell ref="G58:G59"/>
    <mergeCell ref="A61:A62"/>
    <mergeCell ref="B61:B62"/>
    <mergeCell ref="C61:C62"/>
    <mergeCell ref="E61:E62"/>
    <mergeCell ref="F61:F62"/>
    <mergeCell ref="G61:G62"/>
    <mergeCell ref="E58:E59"/>
    <mergeCell ref="F58:F59"/>
    <mergeCell ref="A75:B75"/>
    <mergeCell ref="A91:B91"/>
    <mergeCell ref="A108:C108"/>
    <mergeCell ref="A110:D110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5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63">
      <selection activeCell="I62" sqref="I62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424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19042396</v>
      </c>
      <c r="I14" s="115">
        <f>I20</f>
        <v>17327300</v>
      </c>
      <c r="J14" s="115"/>
      <c r="K14" s="115">
        <f>K26</f>
        <v>366246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17327300</v>
      </c>
      <c r="I20" s="121">
        <f>I21+I22+I23</f>
        <v>17327300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12221800</v>
      </c>
      <c r="I21" s="299">
        <f>11801800+420000</f>
        <v>12221800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4316200</v>
      </c>
      <c r="I22" s="121">
        <f>4056100+260100</f>
        <v>4316200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789300</v>
      </c>
      <c r="I23" s="121">
        <f>651400+137900</f>
        <v>789300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366246</v>
      </c>
      <c r="I26" s="173" t="s">
        <v>146</v>
      </c>
      <c r="J26" s="172"/>
      <c r="K26" s="173">
        <f>K32+K31+K30</f>
        <v>366246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245000</v>
      </c>
      <c r="I30" s="121"/>
      <c r="J30" s="121"/>
      <c r="K30" s="121">
        <f>170000+75000</f>
        <v>245000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337</v>
      </c>
      <c r="G32" s="124"/>
      <c r="H32" s="121">
        <f>K32</f>
        <v>21246</v>
      </c>
      <c r="I32" s="121"/>
      <c r="J32" s="121"/>
      <c r="K32" s="121">
        <f>21508+2491-2753</f>
        <v>21246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19061182.17</v>
      </c>
      <c r="I33" s="138">
        <f>I57+I75+I91</f>
        <v>17327300</v>
      </c>
      <c r="J33" s="138"/>
      <c r="K33" s="138">
        <f>K110+K108+K106</f>
        <v>366246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12774100</v>
      </c>
      <c r="I34" s="121">
        <f>I58+I59+I60</f>
        <v>12349100</v>
      </c>
      <c r="J34" s="121"/>
      <c r="K34" s="121">
        <v>0</v>
      </c>
      <c r="L34" s="121"/>
      <c r="M34" s="121"/>
      <c r="N34" s="121">
        <f>N115+N116</f>
        <v>425000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16800600</v>
      </c>
      <c r="I35" s="121">
        <f>I58+I59+I61+I62</f>
        <v>16285600</v>
      </c>
      <c r="J35" s="121"/>
      <c r="K35" s="121">
        <v>0</v>
      </c>
      <c r="L35" s="121"/>
      <c r="M35" s="121"/>
      <c r="N35" s="121">
        <f>N115+N117</f>
        <v>515000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13011100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9030500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2938900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452300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16538000</v>
      </c>
      <c r="I57" s="148">
        <f>I58+I60+I61+I63+I64+I68+I72+I74+I59+I62+I71</f>
        <v>16538000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9030500</v>
      </c>
      <c r="I58" s="299">
        <f>8870500+160000</f>
        <v>9030500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3317100</v>
      </c>
      <c r="I59" s="121">
        <f>3115300+201800</f>
        <v>3317100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2938900</v>
      </c>
      <c r="I61" s="299">
        <f>2678900+260000</f>
        <v>2938900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999100</v>
      </c>
      <c r="I62" s="121">
        <f>940800+58300</f>
        <v>999100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789300</v>
      </c>
      <c r="I75" s="148">
        <f>I81+I83+I84+I87+I88+I90</f>
        <v>789300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452300</v>
      </c>
      <c r="I81" s="121">
        <f>314400+137900</f>
        <v>452300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245000</v>
      </c>
      <c r="I106" s="133"/>
      <c r="J106" s="133"/>
      <c r="K106" s="148">
        <f>K107</f>
        <v>245000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245000</v>
      </c>
      <c r="I107" s="121"/>
      <c r="J107" s="121"/>
      <c r="K107" s="121">
        <f>170000+75000</f>
        <v>245000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21246</v>
      </c>
      <c r="I110" s="133"/>
      <c r="J110" s="133"/>
      <c r="K110" s="148">
        <f>K112+K113+K111</f>
        <v>21246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2491</v>
      </c>
      <c r="I111" s="121"/>
      <c r="J111" s="121"/>
      <c r="K111" s="121">
        <f>2753-262</f>
        <v>2491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16080</v>
      </c>
      <c r="I112" s="121"/>
      <c r="J112" s="121"/>
      <c r="K112" s="121">
        <f>16080+2491-2491</f>
        <v>16080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415000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f>815000-200000-200000</f>
        <v>415000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100000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f>250000-150000</f>
        <v>100000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24000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f>4000+20000</f>
        <v>24000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25000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f>5000+20000</f>
        <v>25000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20000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f>10000+10000</f>
        <v>20000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95000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f>30000+65000</f>
        <v>95000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65772.75</v>
      </c>
      <c r="I124" s="125"/>
      <c r="J124" s="125"/>
      <c r="K124" s="125"/>
      <c r="L124" s="125"/>
      <c r="M124" s="125"/>
      <c r="N124" s="121">
        <f>63882.75+1890</f>
        <v>65772.75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158786.16999999998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115000+18786.17+25000</f>
        <v>158786.16999999998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288710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18500+4210+200000+66000</f>
        <v>288710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21">
        <f>1890-1890</f>
        <v>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161790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17000+790+44000+100000</f>
        <v>161790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17057100</v>
      </c>
      <c r="I135" s="154">
        <f>I58+I59+I60+I61+I62</f>
        <v>16287100</v>
      </c>
      <c r="J135" s="154"/>
      <c r="K135" s="154">
        <f>K107</f>
        <v>245000</v>
      </c>
      <c r="L135" s="155" t="s">
        <v>146</v>
      </c>
      <c r="M135" s="155" t="s">
        <v>146</v>
      </c>
      <c r="N135" s="154">
        <f>N115+N116+N117</f>
        <v>525000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2004082.17</v>
      </c>
      <c r="I136" s="158">
        <f>I138+I137</f>
        <v>1040200</v>
      </c>
      <c r="J136" s="158">
        <f>J138+J137</f>
        <v>0</v>
      </c>
      <c r="K136" s="158">
        <f>K138+K137</f>
        <v>121246</v>
      </c>
      <c r="L136" s="159"/>
      <c r="M136" s="159"/>
      <c r="N136" s="158">
        <f>N138+N137</f>
        <v>842636.1699999999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2004082.17</v>
      </c>
      <c r="I138" s="154">
        <f>I63+I64+I68+I72+I81+I83+I84+I88+I90+I74</f>
        <v>1040200</v>
      </c>
      <c r="J138" s="154"/>
      <c r="K138" s="154">
        <f>K109+K111+K112+K113</f>
        <v>121246</v>
      </c>
      <c r="L138" s="155" t="s">
        <v>146</v>
      </c>
      <c r="M138" s="155" t="s">
        <v>146</v>
      </c>
      <c r="N138" s="154">
        <f>N118+N119+N121+N123+N125+N127+N129+N132+N124+N130+N131</f>
        <v>842636.1699999999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3:O3"/>
    <mergeCell ref="B4:M4"/>
    <mergeCell ref="N4:O4"/>
    <mergeCell ref="A6:A8"/>
    <mergeCell ref="B6:B8"/>
    <mergeCell ref="C6:C8"/>
    <mergeCell ref="D6:D8"/>
    <mergeCell ref="E6:E8"/>
    <mergeCell ref="H6:O6"/>
    <mergeCell ref="H7:H8"/>
    <mergeCell ref="I7:O7"/>
    <mergeCell ref="N8:O8"/>
    <mergeCell ref="B20:B23"/>
    <mergeCell ref="J20:J21"/>
    <mergeCell ref="G21:G22"/>
    <mergeCell ref="F6:F8"/>
    <mergeCell ref="G6:G8"/>
    <mergeCell ref="B15:B19"/>
    <mergeCell ref="C16:C19"/>
    <mergeCell ref="A21:A22"/>
    <mergeCell ref="C21:C22"/>
    <mergeCell ref="E21:E22"/>
    <mergeCell ref="F21:F22"/>
    <mergeCell ref="A57:B57"/>
    <mergeCell ref="A58:A59"/>
    <mergeCell ref="B58:B59"/>
    <mergeCell ref="C58:C59"/>
    <mergeCell ref="A114:B114"/>
    <mergeCell ref="G58:G59"/>
    <mergeCell ref="A61:A62"/>
    <mergeCell ref="B61:B62"/>
    <mergeCell ref="C61:C62"/>
    <mergeCell ref="E61:E62"/>
    <mergeCell ref="F61:F62"/>
    <mergeCell ref="G61:G62"/>
    <mergeCell ref="E58:E59"/>
    <mergeCell ref="F58:F59"/>
    <mergeCell ref="A75:B75"/>
    <mergeCell ref="A91:B91"/>
    <mergeCell ref="A108:C108"/>
    <mergeCell ref="A110:D110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5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37">
      <selection activeCell="H84" sqref="H84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436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19042396</v>
      </c>
      <c r="I14" s="115">
        <f>I20</f>
        <v>17327300</v>
      </c>
      <c r="J14" s="115"/>
      <c r="K14" s="115">
        <f>K26</f>
        <v>366246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17327300</v>
      </c>
      <c r="I20" s="121">
        <f>I21+I22+I23</f>
        <v>17327300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12243609.4</v>
      </c>
      <c r="I21" s="299">
        <f>11801800+420000+21809.4</f>
        <v>12243609.4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4316200</v>
      </c>
      <c r="I22" s="121">
        <f>4056100+260100</f>
        <v>4316200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767490.6</v>
      </c>
      <c r="I23" s="299">
        <f>651400+137900-21809.4</f>
        <v>767490.6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366246</v>
      </c>
      <c r="I26" s="173" t="s">
        <v>146</v>
      </c>
      <c r="J26" s="172"/>
      <c r="K26" s="173">
        <f>K32+K31+K30</f>
        <v>366246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245000</v>
      </c>
      <c r="I30" s="121"/>
      <c r="J30" s="121"/>
      <c r="K30" s="121">
        <f>170000+75000</f>
        <v>245000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337</v>
      </c>
      <c r="G32" s="124"/>
      <c r="H32" s="121">
        <f>K32</f>
        <v>21246</v>
      </c>
      <c r="I32" s="121"/>
      <c r="J32" s="121"/>
      <c r="K32" s="121">
        <f>21508+2491-2753</f>
        <v>21246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19061182.17</v>
      </c>
      <c r="I33" s="138">
        <f>I57+I75+I91</f>
        <v>17327300</v>
      </c>
      <c r="J33" s="138"/>
      <c r="K33" s="138">
        <f>K110+K108+K106</f>
        <v>366246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12614100</v>
      </c>
      <c r="I34" s="121">
        <f>I58+I59+I60</f>
        <v>12349100</v>
      </c>
      <c r="J34" s="121"/>
      <c r="K34" s="121">
        <v>0</v>
      </c>
      <c r="L34" s="121"/>
      <c r="M34" s="121"/>
      <c r="N34" s="121">
        <f>N115+N116</f>
        <v>265000</v>
      </c>
      <c r="O34" s="120" t="s">
        <v>146</v>
      </c>
    </row>
    <row r="35" spans="1:22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16640600</v>
      </c>
      <c r="I35" s="121">
        <f>I58+I59+I61+I62</f>
        <v>16285600</v>
      </c>
      <c r="J35" s="121"/>
      <c r="K35" s="121">
        <v>0</v>
      </c>
      <c r="L35" s="121"/>
      <c r="M35" s="121"/>
      <c r="N35" s="121">
        <f>N115+N117</f>
        <v>355000</v>
      </c>
      <c r="O35" s="120" t="s">
        <v>146</v>
      </c>
      <c r="V35" s="252"/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2000</v>
      </c>
      <c r="I37" s="121">
        <f>I87+I88</f>
        <v>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13011100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9030500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2938900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36000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15000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452300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118190.6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353532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65177.4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16559809.4</v>
      </c>
      <c r="I57" s="148">
        <f>I58+I60+I61+I63+I64+I68+I72+I74+I59+I62+I71</f>
        <v>16559809.4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9030500</v>
      </c>
      <c r="I58" s="121">
        <f>8870500+160000</f>
        <v>9030500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3317100</v>
      </c>
      <c r="I59" s="121">
        <f>3115300+201800</f>
        <v>3317100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2938900</v>
      </c>
      <c r="I61" s="121">
        <f>2678900+260000</f>
        <v>2938900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999100</v>
      </c>
      <c r="I62" s="121">
        <f>940800+58300</f>
        <v>999100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36000</v>
      </c>
      <c r="I63" s="299">
        <f>25000+11000</f>
        <v>36000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15000</v>
      </c>
      <c r="I64" s="299">
        <f>25000-10000</f>
        <v>15000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179532</v>
      </c>
      <c r="I68" s="299">
        <f>181400-1868</f>
        <v>179532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0</v>
      </c>
      <c r="I72" s="299">
        <f>14000-14000</f>
        <v>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272709.4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42177.4</v>
      </c>
      <c r="I74" s="299">
        <f>5500+36677.4</f>
        <v>42177.4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767490.6</v>
      </c>
      <c r="I75" s="148">
        <f>I81+I83+I84+I87+I88+I90</f>
        <v>767490.6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452300</v>
      </c>
      <c r="I81" s="121">
        <f>314400+137900</f>
        <v>452300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118190.6</v>
      </c>
      <c r="I83" s="299">
        <f>127500-9309.4</f>
        <v>118190.6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0</v>
      </c>
      <c r="I88" s="299">
        <f>7500-7500</f>
        <v>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23000</v>
      </c>
      <c r="I90" s="299">
        <f>28000-5000</f>
        <v>23000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245000</v>
      </c>
      <c r="I106" s="133"/>
      <c r="J106" s="133"/>
      <c r="K106" s="148">
        <f>K107</f>
        <v>245000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245000</v>
      </c>
      <c r="I107" s="121"/>
      <c r="J107" s="121"/>
      <c r="K107" s="121">
        <f>170000+75000</f>
        <v>245000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21246</v>
      </c>
      <c r="I110" s="133"/>
      <c r="J110" s="133"/>
      <c r="K110" s="148">
        <f>K112+K113+K111</f>
        <v>21246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2491</v>
      </c>
      <c r="I111" s="121"/>
      <c r="J111" s="121"/>
      <c r="K111" s="121">
        <f>2753-262</f>
        <v>2491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16080</v>
      </c>
      <c r="I112" s="121"/>
      <c r="J112" s="121"/>
      <c r="K112" s="121">
        <f>16080+2491-2491</f>
        <v>16080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255000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299">
        <f>815000-200000-200000-160000</f>
        <v>255000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100000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f>250000-150000</f>
        <v>100000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24000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f>4000+20000</f>
        <v>24000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25000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f>5000+20000</f>
        <v>25000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20000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f>10000+10000</f>
        <v>20000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15000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299">
        <f>30000+65000-80000</f>
        <v>15000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65772.75</v>
      </c>
      <c r="I124" s="125"/>
      <c r="J124" s="125"/>
      <c r="K124" s="125"/>
      <c r="L124" s="125"/>
      <c r="M124" s="125"/>
      <c r="N124" s="121">
        <f>63882.75+1890</f>
        <v>65772.75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318786.17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299">
        <f>115000+18786.17+25000+160000</f>
        <v>318786.17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368710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299">
        <f>18500+4210+200000+66000+80000</f>
        <v>368710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21">
        <f>1890-1890</f>
        <v>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161790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17000+790+44000+100000</f>
        <v>161790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16897100</v>
      </c>
      <c r="I135" s="154">
        <f>I58+I59+I60+I61+I62</f>
        <v>16287100</v>
      </c>
      <c r="J135" s="154"/>
      <c r="K135" s="154">
        <f>K107</f>
        <v>245000</v>
      </c>
      <c r="L135" s="155" t="s">
        <v>146</v>
      </c>
      <c r="M135" s="155" t="s">
        <v>146</v>
      </c>
      <c r="N135" s="154">
        <f>N115+N116+N117</f>
        <v>365000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2164082.17</v>
      </c>
      <c r="I136" s="158">
        <f>I138+I137</f>
        <v>1040200</v>
      </c>
      <c r="J136" s="158">
        <f>J138+J137</f>
        <v>0</v>
      </c>
      <c r="K136" s="158">
        <f>K138+K137</f>
        <v>121246</v>
      </c>
      <c r="L136" s="159"/>
      <c r="M136" s="159"/>
      <c r="N136" s="158">
        <f>N138+N137</f>
        <v>1002636.1699999999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2164082.17</v>
      </c>
      <c r="I138" s="154">
        <f>I63+I64+I68+I72+I81+I83+I84+I88+I90+I74</f>
        <v>1040200</v>
      </c>
      <c r="J138" s="154"/>
      <c r="K138" s="154">
        <f>K109+K111+K112+K113</f>
        <v>121246</v>
      </c>
      <c r="L138" s="155" t="s">
        <v>146</v>
      </c>
      <c r="M138" s="155" t="s">
        <v>146</v>
      </c>
      <c r="N138" s="154">
        <f>N118+N119+N121+N123+N125+N127+N129+N132+N124+N130+N131</f>
        <v>1002636.1699999999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3:O3"/>
    <mergeCell ref="B4:M4"/>
    <mergeCell ref="N4:O4"/>
    <mergeCell ref="A6:A8"/>
    <mergeCell ref="B6:B8"/>
    <mergeCell ref="C6:C8"/>
    <mergeCell ref="D6:D8"/>
    <mergeCell ref="E6:E8"/>
    <mergeCell ref="H6:O6"/>
    <mergeCell ref="H7:H8"/>
    <mergeCell ref="I7:O7"/>
    <mergeCell ref="N8:O8"/>
    <mergeCell ref="B20:B23"/>
    <mergeCell ref="J20:J21"/>
    <mergeCell ref="G21:G22"/>
    <mergeCell ref="F6:F8"/>
    <mergeCell ref="G6:G8"/>
    <mergeCell ref="B15:B19"/>
    <mergeCell ref="C16:C19"/>
    <mergeCell ref="A21:A22"/>
    <mergeCell ref="C21:C22"/>
    <mergeCell ref="E21:E22"/>
    <mergeCell ref="F21:F22"/>
    <mergeCell ref="A57:B57"/>
    <mergeCell ref="A58:A59"/>
    <mergeCell ref="B58:B59"/>
    <mergeCell ref="C58:C59"/>
    <mergeCell ref="A114:B114"/>
    <mergeCell ref="G58:G59"/>
    <mergeCell ref="A61:A62"/>
    <mergeCell ref="B61:B62"/>
    <mergeCell ref="C61:C62"/>
    <mergeCell ref="E61:E62"/>
    <mergeCell ref="F61:F62"/>
    <mergeCell ref="G61:G62"/>
    <mergeCell ref="E58:E59"/>
    <mergeCell ref="F58:F59"/>
    <mergeCell ref="A75:B75"/>
    <mergeCell ref="A91:B91"/>
    <mergeCell ref="A108:C108"/>
    <mergeCell ref="A110:D110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5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3">
      <selection activeCell="B22" sqref="B22"/>
    </sheetView>
  </sheetViews>
  <sheetFormatPr defaultColWidth="9.00390625" defaultRowHeight="12.75"/>
  <cols>
    <col min="1" max="1" width="33.375" style="0" customWidth="1"/>
    <col min="2" max="2" width="36.125" style="0" customWidth="1"/>
    <col min="3" max="3" width="0" style="0" hidden="1" customWidth="1"/>
    <col min="4" max="4" width="1.12109375" style="0" hidden="1" customWidth="1"/>
    <col min="5" max="5" width="9.125" style="0" hidden="1" customWidth="1"/>
    <col min="6" max="6" width="7.875" style="0" hidden="1" customWidth="1"/>
    <col min="7" max="7" width="9.125" style="0" hidden="1" customWidth="1"/>
    <col min="8" max="8" width="0" style="0" hidden="1" customWidth="1"/>
    <col min="9" max="9" width="0.37109375" style="0" customWidth="1"/>
  </cols>
  <sheetData>
    <row r="1" ht="15.75">
      <c r="A1" s="101"/>
    </row>
    <row r="2" ht="12.75">
      <c r="B2" t="s">
        <v>114</v>
      </c>
    </row>
    <row r="3" spans="2:8" ht="51">
      <c r="B3" s="31" t="s">
        <v>115</v>
      </c>
      <c r="C3" s="7"/>
      <c r="D3" s="7"/>
      <c r="E3" s="7"/>
      <c r="F3" s="7"/>
      <c r="G3" s="7"/>
      <c r="H3" s="7"/>
    </row>
    <row r="4" ht="12.75">
      <c r="B4" t="s">
        <v>116</v>
      </c>
    </row>
    <row r="5" ht="12.75">
      <c r="B5" t="s">
        <v>117</v>
      </c>
    </row>
    <row r="15" spans="1:2" ht="12.75">
      <c r="A15" s="416" t="s">
        <v>118</v>
      </c>
      <c r="B15" s="416"/>
    </row>
    <row r="16" spans="1:2" ht="84" customHeight="1">
      <c r="A16" s="417" t="s">
        <v>232</v>
      </c>
      <c r="B16" s="418"/>
    </row>
  </sheetData>
  <sheetProtection/>
  <mergeCells count="2"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tabSelected="1" view="pageBreakPreview" zoomScaleSheetLayoutView="100" zoomScalePageLayoutView="0" workbookViewId="0" topLeftCell="A1">
      <pane xSplit="4" ySplit="8" topLeftCell="E1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6" sqref="E136"/>
    </sheetView>
  </sheetViews>
  <sheetFormatPr defaultColWidth="9.00390625" defaultRowHeight="12.75"/>
  <cols>
    <col min="1" max="1" width="54.125" style="0" customWidth="1"/>
    <col min="2" max="2" width="12.375" style="0" customWidth="1"/>
    <col min="3" max="3" width="5.75390625" style="0" customWidth="1"/>
    <col min="4" max="4" width="11.75390625" style="2" customWidth="1"/>
    <col min="5" max="5" width="14.875" style="0" customWidth="1"/>
    <col min="6" max="6" width="18.875" style="255" customWidth="1"/>
    <col min="7" max="7" width="11.125" style="0" customWidth="1"/>
    <col min="8" max="8" width="27.375" style="0" customWidth="1"/>
    <col min="9" max="9" width="10.25390625" style="0" bestFit="1" customWidth="1"/>
    <col min="11" max="13" width="10.125" style="0" bestFit="1" customWidth="1"/>
  </cols>
  <sheetData>
    <row r="1" spans="1:3" ht="15.75">
      <c r="A1" s="1" t="s">
        <v>249</v>
      </c>
      <c r="B1" s="1"/>
      <c r="C1" s="1"/>
    </row>
    <row r="2" spans="1:4" ht="15">
      <c r="A2" s="3"/>
      <c r="D2" s="4" t="s">
        <v>104</v>
      </c>
    </row>
    <row r="3" spans="1:8" ht="15.75">
      <c r="A3" s="5"/>
      <c r="B3" s="5"/>
      <c r="C3" s="5"/>
      <c r="D3" s="6"/>
      <c r="E3" s="31"/>
      <c r="G3" s="270" t="s">
        <v>306</v>
      </c>
      <c r="H3" s="270" t="s">
        <v>307</v>
      </c>
    </row>
    <row r="4" spans="1:5" ht="16.5" customHeight="1">
      <c r="A4" s="330"/>
      <c r="B4" s="330"/>
      <c r="C4" s="330"/>
      <c r="D4" s="330"/>
      <c r="E4" s="330"/>
    </row>
    <row r="5" spans="1:5" ht="15" hidden="1">
      <c r="A5" s="7"/>
      <c r="B5" s="7"/>
      <c r="C5" s="7"/>
      <c r="D5" s="6"/>
      <c r="E5" s="7"/>
    </row>
    <row r="6" spans="1:8" ht="20.25" customHeight="1">
      <c r="A6" s="331" t="s">
        <v>2</v>
      </c>
      <c r="B6" s="331" t="s">
        <v>3</v>
      </c>
      <c r="C6" s="333" t="s">
        <v>106</v>
      </c>
      <c r="D6" s="332" t="s">
        <v>52</v>
      </c>
      <c r="E6" s="331" t="s">
        <v>4</v>
      </c>
      <c r="F6" s="373" t="s">
        <v>65</v>
      </c>
      <c r="G6" s="376" t="s">
        <v>90</v>
      </c>
      <c r="H6" s="376"/>
    </row>
    <row r="7" spans="1:8" ht="22.5" customHeight="1">
      <c r="A7" s="331"/>
      <c r="B7" s="331"/>
      <c r="C7" s="334"/>
      <c r="D7" s="332"/>
      <c r="E7" s="377"/>
      <c r="F7" s="374"/>
      <c r="G7" s="370" t="s">
        <v>89</v>
      </c>
      <c r="H7" s="370" t="s">
        <v>95</v>
      </c>
    </row>
    <row r="8" spans="1:8" ht="27" customHeight="1">
      <c r="A8" s="331"/>
      <c r="B8" s="331"/>
      <c r="C8" s="335"/>
      <c r="D8" s="332"/>
      <c r="E8" s="8" t="s">
        <v>5</v>
      </c>
      <c r="F8" s="375"/>
      <c r="G8" s="371"/>
      <c r="H8" s="371"/>
    </row>
    <row r="9" spans="1:8" ht="15.75">
      <c r="A9" s="11" t="s">
        <v>13</v>
      </c>
      <c r="B9" s="9"/>
      <c r="C9" s="9"/>
      <c r="D9" s="10"/>
      <c r="E9" s="48">
        <f>SUM(E10:E184)</f>
        <v>2164082.1700000004</v>
      </c>
      <c r="F9" s="256"/>
      <c r="G9" s="49"/>
      <c r="H9" s="32"/>
    </row>
    <row r="10" spans="1:8" ht="15">
      <c r="A10" s="34" t="s">
        <v>250</v>
      </c>
      <c r="B10" s="29" t="s">
        <v>47</v>
      </c>
      <c r="C10" s="29"/>
      <c r="D10" s="29"/>
      <c r="E10" s="30"/>
      <c r="F10" s="257"/>
      <c r="G10" s="32"/>
      <c r="H10" s="32"/>
    </row>
    <row r="11" spans="1:8" ht="15">
      <c r="A11" s="191" t="s">
        <v>291</v>
      </c>
      <c r="B11" s="192"/>
      <c r="C11" s="192"/>
      <c r="D11" s="193">
        <v>221</v>
      </c>
      <c r="E11" s="30"/>
      <c r="F11" s="257"/>
      <c r="G11" s="32"/>
      <c r="H11" s="32"/>
    </row>
    <row r="12" spans="1:8" ht="15">
      <c r="A12" s="191" t="s">
        <v>292</v>
      </c>
      <c r="B12" s="192"/>
      <c r="C12" s="192"/>
      <c r="D12" s="193"/>
      <c r="E12" s="30"/>
      <c r="F12" s="257"/>
      <c r="G12" s="32"/>
      <c r="H12" s="32"/>
    </row>
    <row r="13" spans="1:8" ht="15">
      <c r="A13" s="194"/>
      <c r="B13" s="195"/>
      <c r="C13" s="195"/>
      <c r="D13" s="195"/>
      <c r="E13" s="30"/>
      <c r="F13" s="257"/>
      <c r="G13" s="32"/>
      <c r="H13" s="32"/>
    </row>
    <row r="14" spans="1:8" ht="17.25" customHeight="1">
      <c r="A14" s="26" t="s">
        <v>251</v>
      </c>
      <c r="B14" s="26" t="s">
        <v>47</v>
      </c>
      <c r="C14" s="26">
        <v>244</v>
      </c>
      <c r="D14" s="26">
        <v>221</v>
      </c>
      <c r="E14" s="167">
        <v>25000</v>
      </c>
      <c r="F14" s="271" t="s">
        <v>301</v>
      </c>
      <c r="G14" s="32"/>
      <c r="H14" s="352" t="s">
        <v>321</v>
      </c>
    </row>
    <row r="15" spans="1:8" ht="14.25" customHeight="1">
      <c r="A15" s="26" t="s">
        <v>251</v>
      </c>
      <c r="B15" s="265" t="s">
        <v>76</v>
      </c>
      <c r="C15" s="26">
        <v>244</v>
      </c>
      <c r="D15" s="26">
        <v>221</v>
      </c>
      <c r="E15" s="167">
        <v>4000</v>
      </c>
      <c r="F15" s="271" t="s">
        <v>301</v>
      </c>
      <c r="G15" s="32"/>
      <c r="H15" s="353"/>
    </row>
    <row r="16" spans="1:8" ht="18" customHeight="1">
      <c r="A16" s="26" t="s">
        <v>18</v>
      </c>
      <c r="B16" s="195" t="s">
        <v>47</v>
      </c>
      <c r="C16" s="195">
        <v>244</v>
      </c>
      <c r="D16" s="46"/>
      <c r="E16" s="309">
        <v>11000</v>
      </c>
      <c r="F16" s="295" t="s">
        <v>409</v>
      </c>
      <c r="G16" s="32" t="s">
        <v>438</v>
      </c>
      <c r="H16" s="372"/>
    </row>
    <row r="17" spans="1:8" ht="12.75" customHeight="1" hidden="1">
      <c r="A17" s="26" t="s">
        <v>18</v>
      </c>
      <c r="B17" s="195" t="s">
        <v>47</v>
      </c>
      <c r="C17" s="195"/>
      <c r="D17" s="46"/>
      <c r="E17" s="167"/>
      <c r="F17" s="257"/>
      <c r="G17" s="32"/>
      <c r="H17" s="372"/>
    </row>
    <row r="18" spans="1:8" ht="12.75" customHeight="1" hidden="1">
      <c r="A18" s="46" t="s">
        <v>19</v>
      </c>
      <c r="B18" s="26" t="s">
        <v>76</v>
      </c>
      <c r="C18" s="26"/>
      <c r="D18" s="46"/>
      <c r="E18" s="167"/>
      <c r="F18" s="257"/>
      <c r="G18" s="32"/>
      <c r="H18" s="57"/>
    </row>
    <row r="19" spans="1:8" ht="26.25" customHeight="1" hidden="1">
      <c r="A19" s="196"/>
      <c r="B19" s="197" t="s">
        <v>47</v>
      </c>
      <c r="C19" s="198"/>
      <c r="D19" s="199"/>
      <c r="E19" s="167"/>
      <c r="F19" s="257"/>
      <c r="G19" s="32"/>
      <c r="H19" s="57"/>
    </row>
    <row r="20" spans="1:8" ht="47.25" customHeight="1" hidden="1">
      <c r="A20" s="196"/>
      <c r="B20" s="200"/>
      <c r="C20" s="201"/>
      <c r="D20" s="202"/>
      <c r="E20" s="167"/>
      <c r="F20" s="257"/>
      <c r="G20" s="32"/>
      <c r="H20" s="57"/>
    </row>
    <row r="21" spans="1:8" ht="12.75">
      <c r="A21" s="203" t="s">
        <v>253</v>
      </c>
      <c r="B21" s="26" t="s">
        <v>47</v>
      </c>
      <c r="C21" s="26">
        <v>244</v>
      </c>
      <c r="D21" s="204">
        <v>222</v>
      </c>
      <c r="E21" s="167">
        <v>7500</v>
      </c>
      <c r="F21" s="51" t="s">
        <v>301</v>
      </c>
      <c r="G21" s="32"/>
      <c r="H21" s="57" t="s">
        <v>331</v>
      </c>
    </row>
    <row r="22" spans="1:8" ht="12.75">
      <c r="A22" s="203" t="s">
        <v>253</v>
      </c>
      <c r="B22" s="26" t="s">
        <v>47</v>
      </c>
      <c r="C22" s="26">
        <v>244</v>
      </c>
      <c r="D22" s="204">
        <v>222</v>
      </c>
      <c r="E22" s="167">
        <v>7500</v>
      </c>
      <c r="F22" s="51" t="s">
        <v>301</v>
      </c>
      <c r="G22" s="32"/>
      <c r="H22" s="57" t="s">
        <v>335</v>
      </c>
    </row>
    <row r="23" spans="1:8" ht="24">
      <c r="A23" s="203" t="s">
        <v>254</v>
      </c>
      <c r="B23" s="26" t="s">
        <v>47</v>
      </c>
      <c r="C23" s="26">
        <v>244</v>
      </c>
      <c r="D23" s="203">
        <v>226</v>
      </c>
      <c r="E23" s="205">
        <v>7372</v>
      </c>
      <c r="F23" s="267" t="s">
        <v>302</v>
      </c>
      <c r="G23" s="59"/>
      <c r="H23" s="57" t="s">
        <v>350</v>
      </c>
    </row>
    <row r="24" spans="1:8" ht="12.75">
      <c r="A24" s="203" t="s">
        <v>357</v>
      </c>
      <c r="B24" s="26" t="s">
        <v>47</v>
      </c>
      <c r="C24" s="26">
        <v>244</v>
      </c>
      <c r="D24" s="203">
        <v>226</v>
      </c>
      <c r="E24" s="205">
        <v>620</v>
      </c>
      <c r="F24" s="267" t="s">
        <v>302</v>
      </c>
      <c r="G24" s="59"/>
      <c r="H24" s="57" t="s">
        <v>358</v>
      </c>
    </row>
    <row r="25" spans="1:8" ht="24">
      <c r="A25" s="203" t="s">
        <v>254</v>
      </c>
      <c r="B25" s="26" t="s">
        <v>47</v>
      </c>
      <c r="C25" s="26">
        <v>244</v>
      </c>
      <c r="D25" s="203">
        <v>226</v>
      </c>
      <c r="E25" s="205">
        <f>116900-12000-7372-620-6768</f>
        <v>90140</v>
      </c>
      <c r="F25" s="267" t="s">
        <v>302</v>
      </c>
      <c r="G25" s="323"/>
      <c r="H25" s="57" t="s">
        <v>395</v>
      </c>
    </row>
    <row r="26" spans="1:8" ht="12.75">
      <c r="A26" s="24" t="s">
        <v>255</v>
      </c>
      <c r="B26" s="204" t="s">
        <v>47</v>
      </c>
      <c r="C26" s="204">
        <v>244</v>
      </c>
      <c r="D26" s="204">
        <v>226</v>
      </c>
      <c r="E26" s="254">
        <f>60000+12000</f>
        <v>72000</v>
      </c>
      <c r="F26" s="267" t="s">
        <v>302</v>
      </c>
      <c r="G26" s="321"/>
      <c r="H26" s="57" t="s">
        <v>315</v>
      </c>
    </row>
    <row r="27" spans="1:8" ht="24">
      <c r="A27" s="24" t="s">
        <v>351</v>
      </c>
      <c r="B27" s="204" t="s">
        <v>47</v>
      </c>
      <c r="C27" s="204">
        <v>244</v>
      </c>
      <c r="D27" s="204">
        <v>226</v>
      </c>
      <c r="E27" s="205">
        <v>4100</v>
      </c>
      <c r="F27" s="267" t="s">
        <v>302</v>
      </c>
      <c r="G27" s="321"/>
      <c r="H27" s="57" t="s">
        <v>352</v>
      </c>
    </row>
    <row r="28" spans="1:8" ht="24">
      <c r="A28" s="185" t="s">
        <v>417</v>
      </c>
      <c r="B28" s="204" t="s">
        <v>47</v>
      </c>
      <c r="C28" s="204">
        <v>244</v>
      </c>
      <c r="D28" s="204">
        <v>226</v>
      </c>
      <c r="E28" s="205">
        <v>5300</v>
      </c>
      <c r="F28" s="267" t="s">
        <v>302</v>
      </c>
      <c r="G28" s="321"/>
      <c r="H28" s="57" t="s">
        <v>416</v>
      </c>
    </row>
    <row r="29" spans="1:8" ht="23.25" customHeight="1" hidden="1">
      <c r="A29" s="58"/>
      <c r="B29" s="204" t="s">
        <v>47</v>
      </c>
      <c r="C29" s="204">
        <v>244</v>
      </c>
      <c r="D29" s="204">
        <v>226</v>
      </c>
      <c r="E29" s="306"/>
      <c r="F29" s="257"/>
      <c r="G29" s="32"/>
      <c r="H29" s="57"/>
    </row>
    <row r="30" spans="1:8" ht="12.75" customHeight="1">
      <c r="A30" s="206"/>
      <c r="B30" s="204" t="s">
        <v>47</v>
      </c>
      <c r="C30" s="204">
        <v>244</v>
      </c>
      <c r="D30" s="204">
        <v>340</v>
      </c>
      <c r="E30" s="309">
        <v>36677.4</v>
      </c>
      <c r="F30" s="295" t="s">
        <v>409</v>
      </c>
      <c r="G30" s="32" t="s">
        <v>438</v>
      </c>
      <c r="H30" s="50"/>
    </row>
    <row r="31" spans="1:8" ht="12.75">
      <c r="A31" s="24" t="s">
        <v>256</v>
      </c>
      <c r="B31" s="24" t="s">
        <v>47</v>
      </c>
      <c r="C31" s="204">
        <v>244</v>
      </c>
      <c r="D31" s="204">
        <v>340</v>
      </c>
      <c r="E31" s="306">
        <f>2500-575.1</f>
        <v>1924.9</v>
      </c>
      <c r="F31" s="51" t="s">
        <v>301</v>
      </c>
      <c r="G31" s="32"/>
      <c r="H31" s="189"/>
    </row>
    <row r="32" spans="1:8" ht="21.75" customHeight="1">
      <c r="A32" s="364" t="s">
        <v>362</v>
      </c>
      <c r="B32" s="24" t="s">
        <v>47</v>
      </c>
      <c r="C32" s="369">
        <v>244</v>
      </c>
      <c r="D32" s="369">
        <v>340</v>
      </c>
      <c r="E32" s="167">
        <f>3000+575.1</f>
        <v>3575.1</v>
      </c>
      <c r="F32" s="51" t="s">
        <v>301</v>
      </c>
      <c r="G32" s="32"/>
      <c r="H32" s="344" t="s">
        <v>363</v>
      </c>
    </row>
    <row r="33" spans="1:8" ht="12.75" customHeight="1" hidden="1">
      <c r="A33" s="364"/>
      <c r="B33" s="46" t="s">
        <v>76</v>
      </c>
      <c r="C33" s="369"/>
      <c r="D33" s="369"/>
      <c r="E33" s="209"/>
      <c r="F33" s="51" t="s">
        <v>301</v>
      </c>
      <c r="G33" s="32"/>
      <c r="H33" s="345"/>
    </row>
    <row r="34" spans="1:8" ht="12.75" hidden="1">
      <c r="A34" s="364" t="s">
        <v>257</v>
      </c>
      <c r="B34" s="46" t="s">
        <v>76</v>
      </c>
      <c r="C34" s="365">
        <v>244</v>
      </c>
      <c r="D34" s="366" t="s">
        <v>42</v>
      </c>
      <c r="E34" s="167"/>
      <c r="F34" s="367"/>
      <c r="G34" s="32"/>
      <c r="H34" s="344"/>
    </row>
    <row r="35" spans="1:8" ht="22.5" customHeight="1" hidden="1">
      <c r="A35" s="364"/>
      <c r="B35" s="24" t="s">
        <v>47</v>
      </c>
      <c r="C35" s="365"/>
      <c r="D35" s="366"/>
      <c r="E35" s="167"/>
      <c r="F35" s="368"/>
      <c r="G35" s="32"/>
      <c r="H35" s="345"/>
    </row>
    <row r="36" spans="1:8" ht="21" customHeight="1">
      <c r="A36" s="28" t="s">
        <v>258</v>
      </c>
      <c r="B36" s="28" t="s">
        <v>53</v>
      </c>
      <c r="C36" s="28"/>
      <c r="D36" s="28"/>
      <c r="E36" s="28"/>
      <c r="F36" s="257"/>
      <c r="G36" s="32"/>
      <c r="H36" s="32"/>
    </row>
    <row r="37" spans="1:8" ht="21" customHeight="1">
      <c r="A37" s="210"/>
      <c r="B37" s="28"/>
      <c r="C37" s="28"/>
      <c r="D37" s="43">
        <v>221</v>
      </c>
      <c r="E37" s="28"/>
      <c r="F37" s="257"/>
      <c r="G37" s="32"/>
      <c r="H37" s="32"/>
    </row>
    <row r="38" spans="1:8" ht="15">
      <c r="A38" s="211" t="s">
        <v>259</v>
      </c>
      <c r="B38" s="212">
        <f>E43+E46+E45</f>
        <v>314400</v>
      </c>
      <c r="C38" s="212"/>
      <c r="D38" s="43">
        <v>223</v>
      </c>
      <c r="E38" s="28"/>
      <c r="F38" s="257"/>
      <c r="G38" s="32"/>
      <c r="H38" s="32"/>
    </row>
    <row r="39" spans="1:8" ht="15">
      <c r="A39" s="211" t="s">
        <v>260</v>
      </c>
      <c r="B39" s="213"/>
      <c r="C39" s="213"/>
      <c r="D39" s="28"/>
      <c r="E39" s="28"/>
      <c r="F39" s="257"/>
      <c r="G39" s="32"/>
      <c r="H39" s="32"/>
    </row>
    <row r="40" spans="1:8" ht="15">
      <c r="A40" s="210"/>
      <c r="B40" s="28"/>
      <c r="C40" s="28"/>
      <c r="D40" s="28"/>
      <c r="E40" s="28"/>
      <c r="F40" s="258"/>
      <c r="G40" s="32"/>
      <c r="H40" s="32"/>
    </row>
    <row r="41" spans="1:8" ht="12.75">
      <c r="A41" s="65" t="s">
        <v>107</v>
      </c>
      <c r="B41" s="24" t="s">
        <v>53</v>
      </c>
      <c r="C41" s="24">
        <v>244</v>
      </c>
      <c r="D41" s="102" t="s">
        <v>30</v>
      </c>
      <c r="E41" s="305">
        <f>137900-16000</f>
        <v>121900</v>
      </c>
      <c r="F41" s="267" t="s">
        <v>302</v>
      </c>
      <c r="G41" s="32"/>
      <c r="H41" s="208" t="s">
        <v>426</v>
      </c>
    </row>
    <row r="42" spans="1:8" ht="20.25" customHeight="1">
      <c r="A42" s="65" t="s">
        <v>433</v>
      </c>
      <c r="B42" s="24" t="s">
        <v>53</v>
      </c>
      <c r="C42" s="24">
        <v>244</v>
      </c>
      <c r="D42" s="102" t="s">
        <v>30</v>
      </c>
      <c r="E42" s="308">
        <v>16000</v>
      </c>
      <c r="F42" s="51" t="s">
        <v>301</v>
      </c>
      <c r="G42" s="32"/>
      <c r="H42" s="307" t="s">
        <v>434</v>
      </c>
    </row>
    <row r="43" spans="1:8" ht="24">
      <c r="A43" s="65" t="s">
        <v>261</v>
      </c>
      <c r="B43" s="24" t="s">
        <v>53</v>
      </c>
      <c r="C43" s="24">
        <v>244</v>
      </c>
      <c r="D43" s="102" t="s">
        <v>30</v>
      </c>
      <c r="E43" s="214">
        <v>136100</v>
      </c>
      <c r="F43" s="268" t="s">
        <v>303</v>
      </c>
      <c r="G43" s="269" t="s">
        <v>312</v>
      </c>
      <c r="H43" s="208" t="s">
        <v>313</v>
      </c>
    </row>
    <row r="44" spans="1:8" ht="12.75" customHeight="1" hidden="1">
      <c r="A44" s="65" t="s">
        <v>107</v>
      </c>
      <c r="B44" s="24"/>
      <c r="C44" s="24"/>
      <c r="D44" s="102"/>
      <c r="E44" s="215"/>
      <c r="F44" s="259"/>
      <c r="G44" s="216"/>
      <c r="H44" s="208"/>
    </row>
    <row r="45" spans="1:8" ht="24">
      <c r="A45" s="65" t="s">
        <v>435</v>
      </c>
      <c r="B45" s="24" t="s">
        <v>53</v>
      </c>
      <c r="C45" s="24">
        <v>244</v>
      </c>
      <c r="D45" s="102" t="s">
        <v>30</v>
      </c>
      <c r="E45" s="214">
        <v>27000</v>
      </c>
      <c r="F45" s="268" t="s">
        <v>303</v>
      </c>
      <c r="G45" s="269" t="s">
        <v>305</v>
      </c>
      <c r="H45" s="278" t="s">
        <v>330</v>
      </c>
    </row>
    <row r="46" spans="1:8" ht="24">
      <c r="A46" s="65" t="s">
        <v>86</v>
      </c>
      <c r="B46" s="24" t="s">
        <v>53</v>
      </c>
      <c r="C46" s="24">
        <v>244</v>
      </c>
      <c r="D46" s="102" t="s">
        <v>31</v>
      </c>
      <c r="E46" s="217">
        <f>135900+15340+60</f>
        <v>151300</v>
      </c>
      <c r="F46" s="268" t="s">
        <v>304</v>
      </c>
      <c r="G46" s="269" t="s">
        <v>305</v>
      </c>
      <c r="H46" s="57" t="s">
        <v>311</v>
      </c>
    </row>
    <row r="47" spans="1:8" ht="14.25" customHeight="1">
      <c r="A47" s="213" t="s">
        <v>87</v>
      </c>
      <c r="B47" s="212" t="e">
        <f>#REF!+#REF!+E53+E56+#REF!+E66+E67</f>
        <v>#REF!</v>
      </c>
      <c r="C47" s="213"/>
      <c r="D47" s="43">
        <v>225</v>
      </c>
      <c r="E47" s="23"/>
      <c r="F47" s="257"/>
      <c r="G47" s="32"/>
      <c r="H47" s="32"/>
    </row>
    <row r="48" spans="1:8" ht="14.25" customHeight="1">
      <c r="A48" s="213" t="s">
        <v>88</v>
      </c>
      <c r="B48" s="213"/>
      <c r="C48" s="213"/>
      <c r="D48" s="43"/>
      <c r="E48" s="23"/>
      <c r="F48" s="257"/>
      <c r="G48" s="32"/>
      <c r="H48" s="32"/>
    </row>
    <row r="49" spans="1:8" ht="14.25" customHeight="1">
      <c r="A49" s="46"/>
      <c r="B49" s="24"/>
      <c r="C49" s="24"/>
      <c r="D49" s="100"/>
      <c r="E49" s="23"/>
      <c r="F49" s="257"/>
      <c r="G49" s="32"/>
      <c r="H49" s="33"/>
    </row>
    <row r="50" spans="1:13" ht="24">
      <c r="A50" s="58" t="s">
        <v>309</v>
      </c>
      <c r="B50" s="24" t="s">
        <v>53</v>
      </c>
      <c r="C50" s="24">
        <v>244</v>
      </c>
      <c r="D50" s="25"/>
      <c r="E50" s="167">
        <v>21384</v>
      </c>
      <c r="F50" s="51" t="s">
        <v>301</v>
      </c>
      <c r="G50" s="59"/>
      <c r="H50" s="272" t="s">
        <v>310</v>
      </c>
      <c r="M50" s="38"/>
    </row>
    <row r="51" spans="1:8" ht="12.75" customHeight="1" hidden="1">
      <c r="A51" s="66"/>
      <c r="B51" s="24" t="s">
        <v>53</v>
      </c>
      <c r="C51" s="24">
        <v>244</v>
      </c>
      <c r="D51" s="25"/>
      <c r="E51" s="167"/>
      <c r="F51" s="329"/>
      <c r="G51" s="321"/>
      <c r="H51" s="322"/>
    </row>
    <row r="52" spans="1:8" ht="12.75" customHeight="1" hidden="1">
      <c r="A52" s="66"/>
      <c r="B52" s="24" t="s">
        <v>53</v>
      </c>
      <c r="C52" s="24">
        <v>244</v>
      </c>
      <c r="D52" s="25"/>
      <c r="E52" s="167"/>
      <c r="F52" s="320"/>
      <c r="G52" s="321"/>
      <c r="H52" s="322"/>
    </row>
    <row r="53" spans="1:13" ht="16.5" customHeight="1">
      <c r="A53" s="24" t="s">
        <v>379</v>
      </c>
      <c r="B53" s="24" t="s">
        <v>53</v>
      </c>
      <c r="C53" s="24">
        <v>244</v>
      </c>
      <c r="D53" s="25"/>
      <c r="E53" s="167">
        <v>8594.84</v>
      </c>
      <c r="F53" s="51" t="s">
        <v>301</v>
      </c>
      <c r="G53" s="32"/>
      <c r="H53" s="218" t="s">
        <v>380</v>
      </c>
      <c r="M53" s="38"/>
    </row>
    <row r="54" spans="1:8" ht="21" customHeight="1">
      <c r="A54" s="24" t="s">
        <v>262</v>
      </c>
      <c r="B54" s="24" t="s">
        <v>53</v>
      </c>
      <c r="C54" s="24">
        <v>244</v>
      </c>
      <c r="D54" s="25"/>
      <c r="E54" s="167"/>
      <c r="F54" s="257"/>
      <c r="G54" s="32"/>
      <c r="H54" s="218"/>
    </row>
    <row r="55" spans="1:8" ht="22.5" customHeight="1">
      <c r="A55" s="24" t="s">
        <v>263</v>
      </c>
      <c r="B55" s="24" t="s">
        <v>53</v>
      </c>
      <c r="C55" s="24">
        <v>244</v>
      </c>
      <c r="D55" s="25"/>
      <c r="E55" s="167"/>
      <c r="F55" s="257"/>
      <c r="G55" s="32"/>
      <c r="H55" s="218"/>
    </row>
    <row r="56" spans="1:9" ht="12.75">
      <c r="A56" s="219" t="s">
        <v>323</v>
      </c>
      <c r="B56" s="24" t="s">
        <v>53</v>
      </c>
      <c r="C56" s="24">
        <v>244</v>
      </c>
      <c r="D56" s="25"/>
      <c r="E56" s="167">
        <f>6100-391.72</f>
        <v>5708.28</v>
      </c>
      <c r="F56" s="51" t="s">
        <v>301</v>
      </c>
      <c r="G56" s="188"/>
      <c r="H56" s="220" t="s">
        <v>322</v>
      </c>
      <c r="I56" s="38" t="e">
        <f>#REF!+#REF!</f>
        <v>#REF!</v>
      </c>
    </row>
    <row r="57" spans="1:8" ht="26.25" hidden="1">
      <c r="A57" s="52" t="s">
        <v>264</v>
      </c>
      <c r="B57" s="24" t="s">
        <v>53</v>
      </c>
      <c r="C57" s="24">
        <v>244</v>
      </c>
      <c r="D57" s="25"/>
      <c r="E57" s="167"/>
      <c r="F57" s="257"/>
      <c r="G57" s="32"/>
      <c r="H57" s="50"/>
    </row>
    <row r="58" spans="1:8" ht="15" hidden="1">
      <c r="A58" s="52" t="s">
        <v>103</v>
      </c>
      <c r="B58" s="24" t="s">
        <v>53</v>
      </c>
      <c r="C58" s="24">
        <v>244</v>
      </c>
      <c r="D58" s="25"/>
      <c r="E58" s="167"/>
      <c r="F58" s="257"/>
      <c r="G58" s="32"/>
      <c r="H58" s="50"/>
    </row>
    <row r="59" spans="1:8" ht="15" hidden="1">
      <c r="A59" s="52" t="s">
        <v>265</v>
      </c>
      <c r="B59" s="24" t="s">
        <v>53</v>
      </c>
      <c r="C59" s="24">
        <v>244</v>
      </c>
      <c r="D59" s="25"/>
      <c r="E59" s="167"/>
      <c r="F59" s="257"/>
      <c r="G59" s="32"/>
      <c r="H59" s="50"/>
    </row>
    <row r="60" spans="1:8" ht="15" hidden="1">
      <c r="A60" s="52" t="s">
        <v>266</v>
      </c>
      <c r="B60" s="24" t="s">
        <v>53</v>
      </c>
      <c r="C60" s="24">
        <v>244</v>
      </c>
      <c r="D60" s="25"/>
      <c r="E60" s="167"/>
      <c r="F60" s="257"/>
      <c r="G60" s="32"/>
      <c r="H60" s="50"/>
    </row>
    <row r="61" spans="1:8" ht="15" hidden="1">
      <c r="A61" s="183" t="s">
        <v>267</v>
      </c>
      <c r="B61" s="24" t="s">
        <v>53</v>
      </c>
      <c r="C61" s="24">
        <v>244</v>
      </c>
      <c r="D61" s="25"/>
      <c r="E61" s="167"/>
      <c r="F61" s="257"/>
      <c r="G61" s="32"/>
      <c r="H61" s="52"/>
    </row>
    <row r="62" spans="1:8" ht="15" hidden="1">
      <c r="A62" s="52" t="s">
        <v>268</v>
      </c>
      <c r="B62" s="24" t="s">
        <v>53</v>
      </c>
      <c r="C62" s="24">
        <v>244</v>
      </c>
      <c r="D62" s="25"/>
      <c r="E62" s="167"/>
      <c r="F62" s="257"/>
      <c r="G62" s="32"/>
      <c r="H62" s="50"/>
    </row>
    <row r="63" spans="1:8" ht="15" hidden="1">
      <c r="A63" s="24" t="s">
        <v>269</v>
      </c>
      <c r="B63" s="24" t="s">
        <v>53</v>
      </c>
      <c r="C63" s="24">
        <v>244</v>
      </c>
      <c r="D63" s="25"/>
      <c r="E63" s="167"/>
      <c r="F63" s="257"/>
      <c r="G63" s="32"/>
      <c r="H63" s="50"/>
    </row>
    <row r="64" spans="1:8" ht="12.75" customHeight="1" hidden="1">
      <c r="A64" s="24" t="s">
        <v>93</v>
      </c>
      <c r="B64" s="24" t="s">
        <v>53</v>
      </c>
      <c r="C64" s="58">
        <v>244</v>
      </c>
      <c r="D64" s="58"/>
      <c r="E64" s="167"/>
      <c r="F64" s="257"/>
      <c r="G64" s="166"/>
      <c r="H64" s="50"/>
    </row>
    <row r="65" spans="1:8" ht="12.75" customHeight="1" hidden="1">
      <c r="A65" s="24" t="s">
        <v>105</v>
      </c>
      <c r="B65" s="46" t="s">
        <v>76</v>
      </c>
      <c r="C65" s="66">
        <v>244</v>
      </c>
      <c r="D65" s="66"/>
      <c r="E65" s="167"/>
      <c r="F65" s="257"/>
      <c r="G65" s="166"/>
      <c r="H65" s="50"/>
    </row>
    <row r="66" spans="1:8" ht="24">
      <c r="A66" s="24" t="s">
        <v>93</v>
      </c>
      <c r="B66" s="24" t="s">
        <v>53</v>
      </c>
      <c r="C66" s="24">
        <v>244</v>
      </c>
      <c r="D66" s="24"/>
      <c r="E66" s="167">
        <f>36000-12000</f>
        <v>24000</v>
      </c>
      <c r="F66" s="51" t="s">
        <v>301</v>
      </c>
      <c r="G66" s="166"/>
      <c r="H66" s="50" t="s">
        <v>314</v>
      </c>
    </row>
    <row r="67" spans="1:8" ht="18" customHeight="1">
      <c r="A67" s="325" t="s">
        <v>415</v>
      </c>
      <c r="B67" s="24" t="s">
        <v>53</v>
      </c>
      <c r="C67" s="26">
        <v>244</v>
      </c>
      <c r="D67" s="175">
        <v>225</v>
      </c>
      <c r="E67" s="167">
        <f>16000+12000-8594.84+39098.32</f>
        <v>58503.479999999996</v>
      </c>
      <c r="F67" s="350" t="s">
        <v>301</v>
      </c>
      <c r="G67" s="32"/>
      <c r="H67" s="311" t="s">
        <v>414</v>
      </c>
    </row>
    <row r="68" spans="1:8" ht="15" customHeight="1">
      <c r="A68" s="310"/>
      <c r="B68" s="303" t="s">
        <v>76</v>
      </c>
      <c r="C68" s="26">
        <v>244</v>
      </c>
      <c r="D68" s="304">
        <v>223</v>
      </c>
      <c r="E68" s="167">
        <v>4175.92</v>
      </c>
      <c r="F68" s="351"/>
      <c r="G68" s="32"/>
      <c r="H68" s="312"/>
    </row>
    <row r="69" spans="1:8" ht="49.5" customHeight="1" hidden="1">
      <c r="A69" s="24"/>
      <c r="B69" s="26"/>
      <c r="C69" s="26"/>
      <c r="D69" s="25"/>
      <c r="E69" s="167"/>
      <c r="F69" s="257"/>
      <c r="G69" s="32"/>
      <c r="H69" s="50"/>
    </row>
    <row r="70" spans="1:8" ht="21" customHeight="1" hidden="1">
      <c r="A70" s="24"/>
      <c r="B70" s="26"/>
      <c r="C70" s="26"/>
      <c r="D70" s="25"/>
      <c r="E70" s="23"/>
      <c r="F70" s="257"/>
      <c r="G70" s="33"/>
      <c r="H70" s="50"/>
    </row>
    <row r="71" spans="1:8" ht="14.25" customHeight="1">
      <c r="A71" s="213" t="s">
        <v>270</v>
      </c>
      <c r="B71" s="212">
        <f>E72+E75</f>
        <v>144885.53</v>
      </c>
      <c r="C71" s="213"/>
      <c r="D71" s="25">
        <v>226</v>
      </c>
      <c r="E71" s="23"/>
      <c r="F71" s="257"/>
      <c r="G71" s="32"/>
      <c r="H71" s="33"/>
    </row>
    <row r="72" spans="1:8" ht="24">
      <c r="A72" s="24" t="s">
        <v>94</v>
      </c>
      <c r="B72" s="24" t="s">
        <v>53</v>
      </c>
      <c r="C72" s="24">
        <v>244</v>
      </c>
      <c r="D72" s="24">
        <v>226</v>
      </c>
      <c r="E72" s="205">
        <f>144000-1680</f>
        <v>142320</v>
      </c>
      <c r="F72" s="267" t="s">
        <v>302</v>
      </c>
      <c r="G72" s="323">
        <v>171434.47</v>
      </c>
      <c r="H72" s="50" t="s">
        <v>308</v>
      </c>
    </row>
    <row r="73" spans="1:8" ht="14.25" customHeight="1" hidden="1">
      <c r="A73" s="24" t="s">
        <v>271</v>
      </c>
      <c r="B73" s="24" t="s">
        <v>53</v>
      </c>
      <c r="C73" s="24">
        <v>244</v>
      </c>
      <c r="D73" s="24">
        <v>226</v>
      </c>
      <c r="E73" s="23"/>
      <c r="F73" s="257"/>
      <c r="G73" s="321"/>
      <c r="H73" s="32"/>
    </row>
    <row r="74" spans="1:8" ht="12.75">
      <c r="A74" s="24" t="s">
        <v>113</v>
      </c>
      <c r="B74" s="24" t="s">
        <v>53</v>
      </c>
      <c r="C74" s="24">
        <v>244</v>
      </c>
      <c r="D74" s="24">
        <v>226</v>
      </c>
      <c r="E74" s="205">
        <f>30000+1680-2565.53</f>
        <v>29114.47</v>
      </c>
      <c r="F74" s="267" t="s">
        <v>302</v>
      </c>
      <c r="G74" s="324"/>
      <c r="H74" s="57"/>
    </row>
    <row r="75" spans="1:8" ht="24">
      <c r="A75" s="24" t="s">
        <v>348</v>
      </c>
      <c r="B75" s="24" t="s">
        <v>53</v>
      </c>
      <c r="C75" s="24">
        <v>244</v>
      </c>
      <c r="D75" s="24">
        <v>226</v>
      </c>
      <c r="E75" s="167">
        <v>2565.53</v>
      </c>
      <c r="F75" s="51" t="s">
        <v>301</v>
      </c>
      <c r="G75" s="32"/>
      <c r="H75" s="57" t="s">
        <v>349</v>
      </c>
    </row>
    <row r="76" spans="1:8" ht="24">
      <c r="A76" s="207" t="s">
        <v>361</v>
      </c>
      <c r="B76" s="24" t="s">
        <v>53</v>
      </c>
      <c r="C76" s="24">
        <v>244</v>
      </c>
      <c r="D76" s="166" t="s">
        <v>42</v>
      </c>
      <c r="E76" s="167">
        <v>12689.35</v>
      </c>
      <c r="F76" s="51" t="s">
        <v>301</v>
      </c>
      <c r="G76" s="32"/>
      <c r="H76" s="57" t="s">
        <v>360</v>
      </c>
    </row>
    <row r="77" spans="1:8" ht="12.75">
      <c r="A77" s="207" t="s">
        <v>272</v>
      </c>
      <c r="B77" s="24" t="s">
        <v>53</v>
      </c>
      <c r="C77" s="24">
        <v>244</v>
      </c>
      <c r="D77" s="166" t="s">
        <v>42</v>
      </c>
      <c r="E77" s="306">
        <f>28000-12689.35-5000</f>
        <v>10310.65</v>
      </c>
      <c r="F77" s="51" t="s">
        <v>301</v>
      </c>
      <c r="G77" s="32"/>
      <c r="H77" s="57"/>
    </row>
    <row r="78" spans="1:8" ht="12.75" customHeight="1">
      <c r="A78" s="54"/>
      <c r="B78" s="55"/>
      <c r="C78" s="55"/>
      <c r="D78" s="60"/>
      <c r="E78" s="90"/>
      <c r="F78" s="257"/>
      <c r="G78" s="32"/>
      <c r="H78" s="32"/>
    </row>
    <row r="79" spans="1:8" ht="14.25" customHeight="1">
      <c r="A79" s="338" t="s">
        <v>273</v>
      </c>
      <c r="B79" s="339"/>
      <c r="C79" s="339"/>
      <c r="D79" s="339"/>
      <c r="E79" s="339"/>
      <c r="F79" s="339"/>
      <c r="G79" s="339"/>
      <c r="H79" s="340"/>
    </row>
    <row r="80" spans="1:8" ht="14.25" customHeight="1">
      <c r="A80" s="315" t="s">
        <v>342</v>
      </c>
      <c r="B80" s="316"/>
      <c r="C80" s="316"/>
      <c r="D80" s="316"/>
      <c r="E80" s="53"/>
      <c r="F80" s="260"/>
      <c r="G80" s="43"/>
      <c r="H80" s="43"/>
    </row>
    <row r="81" spans="1:8" ht="27" customHeight="1">
      <c r="A81" s="24" t="s">
        <v>244</v>
      </c>
      <c r="B81" s="28" t="s">
        <v>78</v>
      </c>
      <c r="C81" s="24">
        <v>244</v>
      </c>
      <c r="D81" s="24">
        <v>225</v>
      </c>
      <c r="E81" s="283">
        <v>2490.43</v>
      </c>
      <c r="F81" s="51" t="s">
        <v>301</v>
      </c>
      <c r="G81" s="43"/>
      <c r="H81" s="190" t="s">
        <v>402</v>
      </c>
    </row>
    <row r="82" spans="1:8" ht="27" customHeight="1">
      <c r="A82" s="24" t="s">
        <v>244</v>
      </c>
      <c r="B82" s="28" t="s">
        <v>78</v>
      </c>
      <c r="C82" s="24">
        <v>244</v>
      </c>
      <c r="D82" s="24">
        <v>225</v>
      </c>
      <c r="E82" s="294">
        <f>2753-2490.43-262</f>
        <v>0.5700000000001637</v>
      </c>
      <c r="F82" s="295" t="s">
        <v>409</v>
      </c>
      <c r="G82" s="43"/>
      <c r="H82" s="190"/>
    </row>
    <row r="83" spans="1:8" ht="14.25" customHeight="1">
      <c r="A83" s="24" t="s">
        <v>343</v>
      </c>
      <c r="B83" s="28" t="s">
        <v>78</v>
      </c>
      <c r="C83" s="24">
        <v>244</v>
      </c>
      <c r="D83" s="24">
        <v>226</v>
      </c>
      <c r="E83" s="284">
        <v>5674.12</v>
      </c>
      <c r="F83" s="51" t="s">
        <v>301</v>
      </c>
      <c r="G83" s="43"/>
      <c r="H83" s="190" t="s">
        <v>383</v>
      </c>
    </row>
    <row r="84" spans="1:8" ht="14.25" customHeight="1">
      <c r="A84" s="24" t="s">
        <v>343</v>
      </c>
      <c r="B84" s="28" t="s">
        <v>78</v>
      </c>
      <c r="C84" s="24">
        <v>244</v>
      </c>
      <c r="D84" s="24">
        <v>226</v>
      </c>
      <c r="E84" s="296">
        <f>16080-5674.12-10405.58</f>
        <v>0.3000000000010914</v>
      </c>
      <c r="F84" s="295" t="s">
        <v>409</v>
      </c>
      <c r="G84" s="43"/>
      <c r="H84" s="190"/>
    </row>
    <row r="85" spans="1:8" ht="24.75" customHeight="1">
      <c r="A85" s="24" t="s">
        <v>344</v>
      </c>
      <c r="B85" s="281" t="s">
        <v>76</v>
      </c>
      <c r="C85" s="24">
        <v>244</v>
      </c>
      <c r="D85" s="24">
        <v>226</v>
      </c>
      <c r="E85" s="283">
        <v>1638</v>
      </c>
      <c r="F85" s="51" t="s">
        <v>301</v>
      </c>
      <c r="G85" s="222"/>
      <c r="H85" s="190" t="s">
        <v>359</v>
      </c>
    </row>
    <row r="86" spans="1:8" ht="33" customHeight="1">
      <c r="A86" s="24" t="s">
        <v>378</v>
      </c>
      <c r="B86" s="281" t="s">
        <v>76</v>
      </c>
      <c r="C86" s="24">
        <v>244</v>
      </c>
      <c r="D86" s="24">
        <v>226</v>
      </c>
      <c r="E86" s="283">
        <v>1890</v>
      </c>
      <c r="F86" s="51" t="s">
        <v>301</v>
      </c>
      <c r="G86" s="222"/>
      <c r="H86" s="190" t="s">
        <v>377</v>
      </c>
    </row>
    <row r="87" spans="1:8" ht="33" customHeight="1">
      <c r="A87" s="24" t="s">
        <v>387</v>
      </c>
      <c r="B87" s="28" t="s">
        <v>78</v>
      </c>
      <c r="C87" s="24">
        <v>244</v>
      </c>
      <c r="D87" s="24">
        <v>226</v>
      </c>
      <c r="E87" s="283">
        <v>10405.58</v>
      </c>
      <c r="F87" s="51" t="s">
        <v>301</v>
      </c>
      <c r="G87" s="222"/>
      <c r="H87" s="352" t="s">
        <v>388</v>
      </c>
    </row>
    <row r="88" spans="1:8" ht="14.25" customHeight="1">
      <c r="A88" s="24" t="s">
        <v>345</v>
      </c>
      <c r="B88" s="281" t="s">
        <v>76</v>
      </c>
      <c r="C88" s="24">
        <v>244</v>
      </c>
      <c r="D88" s="24">
        <v>226</v>
      </c>
      <c r="E88" s="283">
        <f>62244.75-1890+1889.25</f>
        <v>62244</v>
      </c>
      <c r="F88" s="51" t="s">
        <v>301</v>
      </c>
      <c r="G88" s="286"/>
      <c r="H88" s="317"/>
    </row>
    <row r="89" spans="1:8" ht="14.25" customHeight="1">
      <c r="A89" s="24" t="s">
        <v>345</v>
      </c>
      <c r="B89" s="281" t="s">
        <v>76</v>
      </c>
      <c r="C89" s="24">
        <v>244</v>
      </c>
      <c r="D89" s="24">
        <v>226</v>
      </c>
      <c r="E89" s="283">
        <f>1890-1889.25</f>
        <v>0.75</v>
      </c>
      <c r="F89" s="51" t="s">
        <v>301</v>
      </c>
      <c r="G89" s="287"/>
      <c r="H89" s="285"/>
    </row>
    <row r="90" spans="1:10" ht="26.25" customHeight="1">
      <c r="A90" s="24" t="s">
        <v>346</v>
      </c>
      <c r="B90" s="281" t="s">
        <v>76</v>
      </c>
      <c r="C90" s="24">
        <v>244</v>
      </c>
      <c r="D90" s="24">
        <v>340</v>
      </c>
      <c r="E90" s="283">
        <v>1575</v>
      </c>
      <c r="F90" s="51" t="s">
        <v>301</v>
      </c>
      <c r="G90" s="223"/>
      <c r="H90" s="50" t="s">
        <v>371</v>
      </c>
      <c r="J90">
        <f>E88+E85</f>
        <v>63882</v>
      </c>
    </row>
    <row r="91" spans="1:8" ht="26.25" customHeight="1">
      <c r="A91" s="24" t="s">
        <v>346</v>
      </c>
      <c r="B91" s="281" t="s">
        <v>76</v>
      </c>
      <c r="C91" s="24">
        <v>244</v>
      </c>
      <c r="D91" s="24">
        <v>340</v>
      </c>
      <c r="E91" s="283">
        <f>1577.25-1575</f>
        <v>2.25</v>
      </c>
      <c r="F91" s="51" t="s">
        <v>301</v>
      </c>
      <c r="G91" s="223"/>
      <c r="H91" s="28"/>
    </row>
    <row r="92" spans="1:8" ht="23.25" customHeight="1">
      <c r="A92" s="24" t="s">
        <v>404</v>
      </c>
      <c r="B92" s="28" t="s">
        <v>78</v>
      </c>
      <c r="C92" s="24">
        <v>244</v>
      </c>
      <c r="D92" s="24">
        <v>340</v>
      </c>
      <c r="E92" s="283">
        <v>2675</v>
      </c>
      <c r="F92" s="51" t="s">
        <v>301</v>
      </c>
      <c r="G92" s="43"/>
      <c r="H92" s="190" t="s">
        <v>403</v>
      </c>
    </row>
    <row r="93" spans="1:8" ht="14.25" customHeight="1">
      <c r="A93" s="318" t="s">
        <v>339</v>
      </c>
      <c r="B93" s="319"/>
      <c r="C93" s="319"/>
      <c r="D93" s="360"/>
      <c r="E93" s="90"/>
      <c r="F93" s="95"/>
      <c r="G93" s="32"/>
      <c r="H93" s="32"/>
    </row>
    <row r="94" spans="1:8" ht="42" customHeight="1">
      <c r="A94" s="52" t="s">
        <v>347</v>
      </c>
      <c r="B94" s="28" t="s">
        <v>97</v>
      </c>
      <c r="C94" s="28">
        <v>244</v>
      </c>
      <c r="D94" s="28">
        <v>340</v>
      </c>
      <c r="E94" s="224">
        <v>100000</v>
      </c>
      <c r="F94" s="267" t="s">
        <v>302</v>
      </c>
      <c r="G94" s="225"/>
      <c r="H94" s="50" t="s">
        <v>367</v>
      </c>
    </row>
    <row r="95" spans="1:8" ht="35.25" customHeight="1" hidden="1">
      <c r="A95" s="174"/>
      <c r="B95" s="28"/>
      <c r="C95" s="28"/>
      <c r="D95" s="28"/>
      <c r="E95" s="226"/>
      <c r="F95" s="257"/>
      <c r="G95" s="32"/>
      <c r="H95" s="57"/>
    </row>
    <row r="96" spans="1:8" ht="35.25" customHeight="1" hidden="1">
      <c r="A96" s="52"/>
      <c r="B96" s="28"/>
      <c r="C96" s="28"/>
      <c r="D96" s="28"/>
      <c r="E96" s="224"/>
      <c r="F96" s="257"/>
      <c r="G96" s="32"/>
      <c r="H96" s="57"/>
    </row>
    <row r="97" spans="1:9" ht="35.25" customHeight="1" hidden="1">
      <c r="A97" s="52"/>
      <c r="B97" s="28"/>
      <c r="C97" s="28"/>
      <c r="D97" s="28"/>
      <c r="E97" s="224"/>
      <c r="F97" s="257"/>
      <c r="G97" s="225"/>
      <c r="H97" s="57"/>
      <c r="I97" t="s">
        <v>274</v>
      </c>
    </row>
    <row r="98" spans="1:8" ht="35.25" customHeight="1" hidden="1">
      <c r="A98" s="52"/>
      <c r="B98" s="28"/>
      <c r="C98" s="28"/>
      <c r="D98" s="28"/>
      <c r="E98" s="226"/>
      <c r="F98" s="257"/>
      <c r="G98" s="32"/>
      <c r="H98" s="57"/>
    </row>
    <row r="99" spans="1:8" ht="25.5" customHeight="1" hidden="1">
      <c r="A99" s="52"/>
      <c r="B99" s="28"/>
      <c r="C99" s="28"/>
      <c r="D99" s="28"/>
      <c r="E99" s="226"/>
      <c r="F99" s="257"/>
      <c r="G99" s="32"/>
      <c r="H99" s="221"/>
    </row>
    <row r="100" spans="1:8" ht="14.25" customHeight="1" hidden="1">
      <c r="A100" s="174"/>
      <c r="B100" s="227"/>
      <c r="C100" s="227"/>
      <c r="D100" s="175"/>
      <c r="E100" s="226"/>
      <c r="F100" s="257"/>
      <c r="G100" s="32"/>
      <c r="H100" s="32"/>
    </row>
    <row r="101" spans="1:8" ht="24" customHeight="1" hidden="1">
      <c r="A101" s="54"/>
      <c r="B101" s="361"/>
      <c r="C101" s="228"/>
      <c r="D101" s="187"/>
      <c r="E101" s="229"/>
      <c r="F101" s="257"/>
      <c r="G101" s="32"/>
      <c r="H101" s="57"/>
    </row>
    <row r="102" spans="1:8" ht="24" customHeight="1" hidden="1">
      <c r="A102" s="230"/>
      <c r="B102" s="362"/>
      <c r="C102" s="231"/>
      <c r="D102" s="313"/>
      <c r="E102" s="232"/>
      <c r="F102" s="257"/>
      <c r="G102" s="32"/>
      <c r="H102" s="57"/>
    </row>
    <row r="103" spans="1:8" ht="39" customHeight="1" hidden="1">
      <c r="A103" s="65"/>
      <c r="B103" s="362"/>
      <c r="C103" s="231"/>
      <c r="D103" s="314"/>
      <c r="E103" s="232"/>
      <c r="F103" s="257"/>
      <c r="G103" s="32"/>
      <c r="H103" s="50"/>
    </row>
    <row r="104" spans="1:8" ht="15" hidden="1">
      <c r="A104" s="233"/>
      <c r="B104" s="362"/>
      <c r="C104" s="234"/>
      <c r="D104" s="235"/>
      <c r="E104" s="236"/>
      <c r="F104" s="257"/>
      <c r="G104" s="32"/>
      <c r="H104" s="50"/>
    </row>
    <row r="105" spans="1:8" ht="15" hidden="1">
      <c r="A105" s="233"/>
      <c r="B105" s="362"/>
      <c r="C105" s="234"/>
      <c r="D105" s="235"/>
      <c r="E105" s="232"/>
      <c r="F105" s="257"/>
      <c r="G105" s="32"/>
      <c r="H105" s="50"/>
    </row>
    <row r="106" spans="1:8" ht="15" hidden="1">
      <c r="A106" s="54"/>
      <c r="B106" s="363"/>
      <c r="C106" s="235"/>
      <c r="D106" s="53"/>
      <c r="E106" s="232"/>
      <c r="F106" s="257"/>
      <c r="G106" s="32"/>
      <c r="H106" s="57"/>
    </row>
    <row r="107" spans="1:8" ht="14.25" customHeight="1" hidden="1">
      <c r="A107" s="54"/>
      <c r="B107" s="55"/>
      <c r="C107" s="55"/>
      <c r="D107" s="60"/>
      <c r="E107" s="27"/>
      <c r="F107" s="257"/>
      <c r="G107" s="32"/>
      <c r="H107" s="32"/>
    </row>
    <row r="108" spans="1:8" s="19" customFormat="1" ht="12.75" customHeight="1">
      <c r="A108" s="338" t="s">
        <v>48</v>
      </c>
      <c r="B108" s="339"/>
      <c r="C108" s="339"/>
      <c r="D108" s="339"/>
      <c r="E108" s="340"/>
      <c r="F108" s="257"/>
      <c r="G108" s="33"/>
      <c r="H108" s="33"/>
    </row>
    <row r="109" spans="1:8" s="19" customFormat="1" ht="12.75" customHeight="1">
      <c r="A109" s="341" t="s">
        <v>289</v>
      </c>
      <c r="B109" s="341"/>
      <c r="C109" s="341"/>
      <c r="D109" s="341"/>
      <c r="E109" s="341"/>
      <c r="F109" s="257"/>
      <c r="G109" s="33"/>
      <c r="H109" s="33"/>
    </row>
    <row r="110" spans="1:8" s="19" customFormat="1" ht="12.75" customHeight="1">
      <c r="A110" s="28" t="s">
        <v>29</v>
      </c>
      <c r="B110" s="237"/>
      <c r="C110" s="237"/>
      <c r="D110" s="25"/>
      <c r="E110" s="22"/>
      <c r="F110" s="257"/>
      <c r="G110" s="33"/>
      <c r="H110" s="33"/>
    </row>
    <row r="111" spans="1:8" s="19" customFormat="1" ht="26.25" customHeight="1">
      <c r="A111" s="24" t="s">
        <v>252</v>
      </c>
      <c r="B111" s="52" t="s">
        <v>76</v>
      </c>
      <c r="C111" s="102">
        <v>244</v>
      </c>
      <c r="D111" s="102">
        <v>221</v>
      </c>
      <c r="E111" s="167">
        <v>9360</v>
      </c>
      <c r="F111" s="51" t="s">
        <v>301</v>
      </c>
      <c r="G111" s="33"/>
      <c r="H111" s="289" t="s">
        <v>396</v>
      </c>
    </row>
    <row r="112" spans="1:8" s="19" customFormat="1" ht="26.25" customHeight="1">
      <c r="A112" s="24" t="s">
        <v>397</v>
      </c>
      <c r="B112" s="52" t="s">
        <v>76</v>
      </c>
      <c r="C112" s="102">
        <v>244</v>
      </c>
      <c r="D112" s="102">
        <v>221</v>
      </c>
      <c r="E112" s="167">
        <v>7870.65</v>
      </c>
      <c r="F112" s="51" t="s">
        <v>301</v>
      </c>
      <c r="G112" s="33"/>
      <c r="H112" s="289" t="s">
        <v>399</v>
      </c>
    </row>
    <row r="113" spans="1:8" s="19" customFormat="1" ht="26.25" customHeight="1">
      <c r="A113" s="24" t="s">
        <v>252</v>
      </c>
      <c r="B113" s="52" t="s">
        <v>76</v>
      </c>
      <c r="C113" s="102">
        <v>244</v>
      </c>
      <c r="D113" s="102">
        <v>221</v>
      </c>
      <c r="E113" s="167">
        <f>20000-9360-7870.65</f>
        <v>2769.3500000000004</v>
      </c>
      <c r="F113" s="51" t="s">
        <v>301</v>
      </c>
      <c r="G113" s="33"/>
      <c r="H113" s="50"/>
    </row>
    <row r="114" spans="1:8" s="19" customFormat="1" ht="26.25" customHeight="1">
      <c r="A114" s="24" t="s">
        <v>375</v>
      </c>
      <c r="B114" s="52" t="s">
        <v>76</v>
      </c>
      <c r="C114" s="102">
        <v>244</v>
      </c>
      <c r="D114" s="102">
        <v>222</v>
      </c>
      <c r="E114" s="167">
        <f>20000-7000</f>
        <v>13000</v>
      </c>
      <c r="F114" s="51" t="s">
        <v>301</v>
      </c>
      <c r="G114" s="33"/>
      <c r="H114" s="50"/>
    </row>
    <row r="115" spans="1:8" s="19" customFormat="1" ht="26.25" customHeight="1">
      <c r="A115" s="24" t="s">
        <v>389</v>
      </c>
      <c r="B115" s="52" t="s">
        <v>76</v>
      </c>
      <c r="C115" s="102">
        <v>244</v>
      </c>
      <c r="D115" s="102">
        <v>222</v>
      </c>
      <c r="E115" s="167">
        <v>7000</v>
      </c>
      <c r="F115" s="51" t="s">
        <v>301</v>
      </c>
      <c r="G115" s="33"/>
      <c r="H115" s="50" t="s">
        <v>390</v>
      </c>
    </row>
    <row r="116" spans="1:8" s="19" customFormat="1" ht="20.25" customHeight="1">
      <c r="A116" s="24" t="s">
        <v>277</v>
      </c>
      <c r="B116" s="52" t="s">
        <v>76</v>
      </c>
      <c r="C116" s="102">
        <v>244</v>
      </c>
      <c r="D116" s="102">
        <v>223</v>
      </c>
      <c r="E116" s="297">
        <f>10000-4175.92</f>
        <v>5824.08</v>
      </c>
      <c r="F116" s="51" t="s">
        <v>301</v>
      </c>
      <c r="G116" s="33"/>
      <c r="H116" s="50"/>
    </row>
    <row r="117" spans="1:8" s="19" customFormat="1" ht="20.25" customHeight="1">
      <c r="A117" s="24" t="s">
        <v>277</v>
      </c>
      <c r="B117" s="52" t="s">
        <v>76</v>
      </c>
      <c r="C117" s="102">
        <v>244</v>
      </c>
      <c r="D117" s="102">
        <v>223</v>
      </c>
      <c r="E117" s="297">
        <v>10000</v>
      </c>
      <c r="F117" s="51" t="s">
        <v>301</v>
      </c>
      <c r="G117" s="33"/>
      <c r="H117" s="50"/>
    </row>
    <row r="118" spans="1:8" s="19" customFormat="1" ht="24.75" customHeight="1">
      <c r="A118" s="24" t="s">
        <v>365</v>
      </c>
      <c r="B118" s="52" t="s">
        <v>76</v>
      </c>
      <c r="C118" s="102">
        <v>244</v>
      </c>
      <c r="D118" s="102">
        <v>225</v>
      </c>
      <c r="E118" s="167">
        <v>6161.02</v>
      </c>
      <c r="F118" s="51" t="s">
        <v>301</v>
      </c>
      <c r="G118" s="33"/>
      <c r="H118" s="50" t="s">
        <v>366</v>
      </c>
    </row>
    <row r="119" spans="1:8" s="19" customFormat="1" ht="24.75" customHeight="1">
      <c r="A119" s="346" t="s">
        <v>407</v>
      </c>
      <c r="B119" s="52" t="s">
        <v>76</v>
      </c>
      <c r="C119" s="102">
        <v>244</v>
      </c>
      <c r="D119" s="102">
        <v>225</v>
      </c>
      <c r="E119" s="167">
        <f>10620-7020</f>
        <v>3600</v>
      </c>
      <c r="F119" s="51" t="s">
        <v>301</v>
      </c>
      <c r="G119" s="33"/>
      <c r="H119" s="352" t="s">
        <v>408</v>
      </c>
    </row>
    <row r="120" spans="1:8" s="19" customFormat="1" ht="24.75" customHeight="1">
      <c r="A120" s="347"/>
      <c r="B120" s="52" t="s">
        <v>76</v>
      </c>
      <c r="C120" s="102">
        <v>244</v>
      </c>
      <c r="D120" s="102">
        <v>226</v>
      </c>
      <c r="E120" s="167">
        <v>7020</v>
      </c>
      <c r="F120" s="51" t="s">
        <v>301</v>
      </c>
      <c r="G120" s="33"/>
      <c r="H120" s="353"/>
    </row>
    <row r="121" spans="1:8" s="19" customFormat="1" ht="24.75" customHeight="1">
      <c r="A121" s="24" t="s">
        <v>278</v>
      </c>
      <c r="B121" s="52" t="s">
        <v>76</v>
      </c>
      <c r="C121" s="102">
        <v>244</v>
      </c>
      <c r="D121" s="102">
        <v>225</v>
      </c>
      <c r="E121" s="167">
        <f>30000-6161.02-10620+7020-15000</f>
        <v>5238.98</v>
      </c>
      <c r="F121" s="51" t="s">
        <v>301</v>
      </c>
      <c r="G121" s="33"/>
      <c r="H121" s="50"/>
    </row>
    <row r="122" spans="1:8" s="19" customFormat="1" ht="19.5" customHeight="1">
      <c r="A122" s="24" t="s">
        <v>324</v>
      </c>
      <c r="B122" s="52" t="s">
        <v>76</v>
      </c>
      <c r="C122" s="102">
        <v>244</v>
      </c>
      <c r="D122" s="238">
        <v>226</v>
      </c>
      <c r="E122" s="167">
        <f>19103.99+2446.5</f>
        <v>21550.49</v>
      </c>
      <c r="F122" s="51" t="s">
        <v>301</v>
      </c>
      <c r="G122" s="33"/>
      <c r="H122" s="50" t="s">
        <v>325</v>
      </c>
    </row>
    <row r="123" spans="1:8" s="19" customFormat="1" ht="31.5" customHeight="1">
      <c r="A123" s="24" t="s">
        <v>326</v>
      </c>
      <c r="B123" s="52" t="s">
        <v>76</v>
      </c>
      <c r="C123" s="102">
        <v>244</v>
      </c>
      <c r="D123" s="238">
        <v>226</v>
      </c>
      <c r="E123" s="167">
        <v>9500</v>
      </c>
      <c r="F123" s="51" t="s">
        <v>301</v>
      </c>
      <c r="G123" s="33"/>
      <c r="H123" s="50" t="s">
        <v>327</v>
      </c>
    </row>
    <row r="124" spans="1:8" s="19" customFormat="1" ht="19.5" customHeight="1">
      <c r="A124" s="24" t="s">
        <v>368</v>
      </c>
      <c r="B124" s="52" t="s">
        <v>76</v>
      </c>
      <c r="C124" s="102">
        <v>244</v>
      </c>
      <c r="D124" s="238">
        <v>226</v>
      </c>
      <c r="E124" s="167">
        <v>7800</v>
      </c>
      <c r="F124" s="51" t="s">
        <v>301</v>
      </c>
      <c r="G124" s="33"/>
      <c r="H124" s="50" t="s">
        <v>369</v>
      </c>
    </row>
    <row r="125" spans="1:8" s="19" customFormat="1" ht="19.5" customHeight="1">
      <c r="A125" s="24" t="s">
        <v>410</v>
      </c>
      <c r="B125" s="52" t="s">
        <v>76</v>
      </c>
      <c r="C125" s="102">
        <v>244</v>
      </c>
      <c r="D125" s="238">
        <v>226</v>
      </c>
      <c r="E125" s="167">
        <v>3000</v>
      </c>
      <c r="F125" s="51" t="s">
        <v>301</v>
      </c>
      <c r="G125" s="33"/>
      <c r="H125" s="50" t="s">
        <v>411</v>
      </c>
    </row>
    <row r="126" spans="1:8" s="19" customFormat="1" ht="19.5" customHeight="1">
      <c r="A126" s="24" t="s">
        <v>418</v>
      </c>
      <c r="B126" s="52" t="s">
        <v>76</v>
      </c>
      <c r="C126" s="102">
        <v>244</v>
      </c>
      <c r="D126" s="238">
        <v>226</v>
      </c>
      <c r="E126" s="167">
        <v>2800</v>
      </c>
      <c r="F126" s="51" t="s">
        <v>301</v>
      </c>
      <c r="G126" s="33"/>
      <c r="H126" s="50" t="s">
        <v>419</v>
      </c>
    </row>
    <row r="127" spans="1:8" s="19" customFormat="1" ht="25.5" customHeight="1">
      <c r="A127" s="24" t="s">
        <v>410</v>
      </c>
      <c r="B127" s="52" t="s">
        <v>76</v>
      </c>
      <c r="C127" s="102">
        <v>244</v>
      </c>
      <c r="D127" s="238">
        <v>226</v>
      </c>
      <c r="E127" s="167">
        <v>10000</v>
      </c>
      <c r="F127" s="51" t="s">
        <v>301</v>
      </c>
      <c r="G127" s="33"/>
      <c r="H127" s="50" t="s">
        <v>425</v>
      </c>
    </row>
    <row r="128" spans="1:8" s="19" customFormat="1" ht="25.5" customHeight="1">
      <c r="A128" s="24" t="s">
        <v>410</v>
      </c>
      <c r="B128" s="52" t="s">
        <v>76</v>
      </c>
      <c r="C128" s="102">
        <v>244</v>
      </c>
      <c r="D128" s="238">
        <v>226</v>
      </c>
      <c r="E128" s="167">
        <v>20000</v>
      </c>
      <c r="F128" s="51" t="s">
        <v>301</v>
      </c>
      <c r="G128" s="33"/>
      <c r="H128" s="50" t="s">
        <v>427</v>
      </c>
    </row>
    <row r="129" spans="1:8" s="19" customFormat="1" ht="25.5" customHeight="1">
      <c r="A129" s="24" t="s">
        <v>431</v>
      </c>
      <c r="B129" s="52" t="s">
        <v>76</v>
      </c>
      <c r="C129" s="102">
        <v>244</v>
      </c>
      <c r="D129" s="238">
        <v>226</v>
      </c>
      <c r="E129" s="167">
        <v>1000</v>
      </c>
      <c r="F129" s="51" t="s">
        <v>301</v>
      </c>
      <c r="G129" s="33"/>
      <c r="H129" s="50" t="s">
        <v>432</v>
      </c>
    </row>
    <row r="130" spans="1:8" s="19" customFormat="1" ht="19.5" customHeight="1">
      <c r="A130" s="24" t="s">
        <v>279</v>
      </c>
      <c r="B130" s="52" t="s">
        <v>76</v>
      </c>
      <c r="C130" s="102">
        <v>244</v>
      </c>
      <c r="D130" s="238">
        <v>226</v>
      </c>
      <c r="E130" s="167">
        <f>115000-19103.99-2446.5-9500-7800-7020-3000-2800-10000-20000-1000</f>
        <v>32329.509999999995</v>
      </c>
      <c r="F130" s="51" t="s">
        <v>301</v>
      </c>
      <c r="G130" s="33"/>
      <c r="H130" s="50"/>
    </row>
    <row r="131" spans="1:8" s="19" customFormat="1" ht="19.5" customHeight="1">
      <c r="A131" s="24" t="s">
        <v>293</v>
      </c>
      <c r="B131" s="52" t="s">
        <v>76</v>
      </c>
      <c r="C131" s="102">
        <v>244</v>
      </c>
      <c r="D131" s="238">
        <v>226</v>
      </c>
      <c r="E131" s="167">
        <f>18786.17</f>
        <v>18786.17</v>
      </c>
      <c r="F131" s="51" t="s">
        <v>301</v>
      </c>
      <c r="G131" s="33"/>
      <c r="H131" s="50"/>
    </row>
    <row r="132" spans="1:8" s="19" customFormat="1" ht="19.5" customHeight="1">
      <c r="A132" s="24" t="s">
        <v>413</v>
      </c>
      <c r="B132" s="52" t="s">
        <v>76</v>
      </c>
      <c r="C132" s="102">
        <v>244</v>
      </c>
      <c r="D132" s="238">
        <v>226</v>
      </c>
      <c r="E132" s="297">
        <v>25000</v>
      </c>
      <c r="F132" s="51" t="s">
        <v>301</v>
      </c>
      <c r="G132" s="33"/>
      <c r="H132" s="50"/>
    </row>
    <row r="133" spans="1:8" s="19" customFormat="1" ht="19.5" customHeight="1">
      <c r="A133" s="24"/>
      <c r="B133" s="52" t="s">
        <v>76</v>
      </c>
      <c r="C133" s="102">
        <v>244</v>
      </c>
      <c r="D133" s="102">
        <v>226</v>
      </c>
      <c r="E133" s="309">
        <v>160000</v>
      </c>
      <c r="F133" s="295" t="s">
        <v>409</v>
      </c>
      <c r="G133" s="33" t="s">
        <v>437</v>
      </c>
      <c r="H133" s="50"/>
    </row>
    <row r="134" spans="1:8" s="19" customFormat="1" ht="19.5" customHeight="1">
      <c r="A134" s="24" t="s">
        <v>286</v>
      </c>
      <c r="B134" s="52" t="s">
        <v>76</v>
      </c>
      <c r="C134" s="102">
        <v>244</v>
      </c>
      <c r="D134" s="238">
        <v>296</v>
      </c>
      <c r="E134" s="167">
        <v>2000</v>
      </c>
      <c r="F134" s="282" t="s">
        <v>301</v>
      </c>
      <c r="G134" s="33"/>
      <c r="H134" s="50"/>
    </row>
    <row r="135" spans="1:8" s="19" customFormat="1" ht="19.5" customHeight="1">
      <c r="A135" s="24"/>
      <c r="B135" s="52" t="s">
        <v>76</v>
      </c>
      <c r="C135" s="102">
        <v>244</v>
      </c>
      <c r="D135" s="102">
        <v>310</v>
      </c>
      <c r="E135" s="309">
        <v>80000</v>
      </c>
      <c r="F135" s="295" t="s">
        <v>409</v>
      </c>
      <c r="G135" s="33" t="s">
        <v>438</v>
      </c>
      <c r="H135" s="50"/>
    </row>
    <row r="136" spans="1:8" s="19" customFormat="1" ht="21" customHeight="1">
      <c r="A136" s="24" t="s">
        <v>354</v>
      </c>
      <c r="B136" s="52" t="s">
        <v>76</v>
      </c>
      <c r="C136" s="102">
        <v>244</v>
      </c>
      <c r="D136" s="102">
        <v>310</v>
      </c>
      <c r="E136" s="167">
        <f>66000-21446-2000</f>
        <v>42554</v>
      </c>
      <c r="F136" s="282" t="s">
        <v>301</v>
      </c>
      <c r="G136" s="33"/>
      <c r="H136" s="57"/>
    </row>
    <row r="137" spans="1:8" s="19" customFormat="1" ht="21" customHeight="1">
      <c r="A137" s="58" t="s">
        <v>394</v>
      </c>
      <c r="B137" s="52" t="s">
        <v>76</v>
      </c>
      <c r="C137" s="102">
        <v>244</v>
      </c>
      <c r="D137" s="102">
        <v>310</v>
      </c>
      <c r="E137" s="167">
        <v>2000</v>
      </c>
      <c r="F137" s="282" t="s">
        <v>301</v>
      </c>
      <c r="G137" s="33"/>
      <c r="H137" s="290" t="s">
        <v>398</v>
      </c>
    </row>
    <row r="138" spans="1:8" s="19" customFormat="1" ht="12.75">
      <c r="A138" s="346" t="s">
        <v>328</v>
      </c>
      <c r="B138" s="52" t="s">
        <v>76</v>
      </c>
      <c r="C138" s="102">
        <v>244</v>
      </c>
      <c r="D138" s="102">
        <v>310</v>
      </c>
      <c r="E138" s="167">
        <f>18500-14756+21446</f>
        <v>25190</v>
      </c>
      <c r="F138" s="342" t="s">
        <v>301</v>
      </c>
      <c r="G138" s="33"/>
      <c r="H138" s="348" t="s">
        <v>393</v>
      </c>
    </row>
    <row r="139" spans="1:8" s="19" customFormat="1" ht="12.75">
      <c r="A139" s="347"/>
      <c r="B139" s="52" t="s">
        <v>76</v>
      </c>
      <c r="C139" s="102">
        <v>244</v>
      </c>
      <c r="D139" s="102" t="s">
        <v>42</v>
      </c>
      <c r="E139" s="167">
        <v>5487</v>
      </c>
      <c r="F139" s="343"/>
      <c r="G139" s="33"/>
      <c r="H139" s="349"/>
    </row>
    <row r="140" spans="1:8" s="19" customFormat="1" ht="12.75">
      <c r="A140" s="346" t="s">
        <v>385</v>
      </c>
      <c r="B140" s="52" t="s">
        <v>76</v>
      </c>
      <c r="C140" s="102">
        <v>244</v>
      </c>
      <c r="D140" s="102">
        <v>310</v>
      </c>
      <c r="E140" s="167">
        <v>14756</v>
      </c>
      <c r="F140" s="350" t="s">
        <v>301</v>
      </c>
      <c r="G140" s="33"/>
      <c r="H140" s="344" t="s">
        <v>386</v>
      </c>
    </row>
    <row r="141" spans="1:8" s="19" customFormat="1" ht="12.75" customHeight="1">
      <c r="A141" s="347"/>
      <c r="B141" s="240" t="s">
        <v>76</v>
      </c>
      <c r="C141" s="238">
        <v>244</v>
      </c>
      <c r="D141" s="102" t="s">
        <v>42</v>
      </c>
      <c r="E141" s="167">
        <v>3491</v>
      </c>
      <c r="F141" s="351"/>
      <c r="G141" s="33"/>
      <c r="H141" s="345"/>
    </row>
    <row r="142" spans="1:8" s="19" customFormat="1" ht="21" customHeight="1">
      <c r="A142" s="24" t="s">
        <v>370</v>
      </c>
      <c r="B142" s="52" t="s">
        <v>76</v>
      </c>
      <c r="C142" s="102">
        <v>244</v>
      </c>
      <c r="D142" s="102">
        <v>222</v>
      </c>
      <c r="E142" s="205">
        <v>5000</v>
      </c>
      <c r="F142" s="327" t="s">
        <v>302</v>
      </c>
      <c r="G142" s="359"/>
      <c r="H142" s="344" t="s">
        <v>364</v>
      </c>
    </row>
    <row r="143" spans="1:10" s="19" customFormat="1" ht="24.75" customHeight="1">
      <c r="A143" s="24" t="s">
        <v>354</v>
      </c>
      <c r="B143" s="52" t="s">
        <v>76</v>
      </c>
      <c r="C143" s="102">
        <v>244</v>
      </c>
      <c r="D143" s="102">
        <v>310</v>
      </c>
      <c r="E143" s="205">
        <f>144571-5000</f>
        <v>139571</v>
      </c>
      <c r="F143" s="328"/>
      <c r="G143" s="326"/>
      <c r="H143" s="345"/>
      <c r="J143" s="242">
        <f>E136+E146+E138</f>
        <v>71954</v>
      </c>
    </row>
    <row r="144" spans="1:8" s="19" customFormat="1" ht="24.75" customHeight="1">
      <c r="A144" s="24" t="s">
        <v>372</v>
      </c>
      <c r="B144" s="52" t="s">
        <v>76</v>
      </c>
      <c r="C144" s="102">
        <v>244</v>
      </c>
      <c r="D144" s="102">
        <v>310</v>
      </c>
      <c r="E144" s="205">
        <v>18900</v>
      </c>
      <c r="F144" s="267" t="s">
        <v>302</v>
      </c>
      <c r="G144" s="33"/>
      <c r="H144" s="57" t="s">
        <v>373</v>
      </c>
    </row>
    <row r="145" spans="1:8" s="19" customFormat="1" ht="24.75" customHeight="1">
      <c r="A145" s="24" t="s">
        <v>354</v>
      </c>
      <c r="B145" s="52" t="s">
        <v>76</v>
      </c>
      <c r="C145" s="102">
        <v>244</v>
      </c>
      <c r="D145" s="102">
        <v>310</v>
      </c>
      <c r="E145" s="205">
        <f>200000-144571+5000-18900</f>
        <v>41529</v>
      </c>
      <c r="F145" s="267" t="s">
        <v>302</v>
      </c>
      <c r="G145" s="33"/>
      <c r="H145" s="57"/>
    </row>
    <row r="146" spans="1:8" s="19" customFormat="1" ht="24.75" customHeight="1">
      <c r="A146" s="24" t="s">
        <v>381</v>
      </c>
      <c r="B146" s="52" t="s">
        <v>76</v>
      </c>
      <c r="C146" s="102">
        <v>244</v>
      </c>
      <c r="D146" s="102">
        <v>310</v>
      </c>
      <c r="E146" s="167">
        <v>4210</v>
      </c>
      <c r="F146" s="350" t="s">
        <v>301</v>
      </c>
      <c r="G146" s="33"/>
      <c r="H146" s="344" t="s">
        <v>382</v>
      </c>
    </row>
    <row r="147" spans="1:8" s="19" customFormat="1" ht="12.75" customHeight="1">
      <c r="A147" s="24" t="s">
        <v>376</v>
      </c>
      <c r="B147" s="240" t="s">
        <v>76</v>
      </c>
      <c r="C147" s="238">
        <v>244</v>
      </c>
      <c r="D147" s="102" t="s">
        <v>42</v>
      </c>
      <c r="E147" s="167">
        <v>790</v>
      </c>
      <c r="F147" s="351"/>
      <c r="G147" s="33"/>
      <c r="H147" s="345"/>
    </row>
    <row r="148" spans="1:8" s="19" customFormat="1" ht="24.75" customHeight="1" hidden="1">
      <c r="A148" s="24"/>
      <c r="B148" s="184"/>
      <c r="C148" s="238"/>
      <c r="D148" s="102"/>
      <c r="E148" s="167"/>
      <c r="F148" s="51" t="s">
        <v>301</v>
      </c>
      <c r="G148" s="33"/>
      <c r="H148" s="33"/>
    </row>
    <row r="149" spans="1:8" s="19" customFormat="1" ht="12.75" customHeight="1" hidden="1">
      <c r="A149" s="24"/>
      <c r="B149" s="52"/>
      <c r="C149" s="102"/>
      <c r="D149" s="102"/>
      <c r="E149" s="167"/>
      <c r="F149" s="51" t="s">
        <v>301</v>
      </c>
      <c r="G149" s="33"/>
      <c r="H149" s="33"/>
    </row>
    <row r="150" spans="1:8" s="19" customFormat="1" ht="12.75" customHeight="1" hidden="1">
      <c r="A150" s="239"/>
      <c r="B150" s="52"/>
      <c r="C150" s="102"/>
      <c r="D150" s="102"/>
      <c r="E150" s="167"/>
      <c r="F150" s="51" t="s">
        <v>301</v>
      </c>
      <c r="G150" s="33"/>
      <c r="H150" s="33"/>
    </row>
    <row r="151" spans="1:8" s="19" customFormat="1" ht="12.75" customHeight="1" hidden="1">
      <c r="A151" s="239"/>
      <c r="B151" s="52"/>
      <c r="C151" s="102"/>
      <c r="D151" s="102"/>
      <c r="E151" s="167"/>
      <c r="F151" s="51" t="s">
        <v>301</v>
      </c>
      <c r="G151" s="33"/>
      <c r="H151" s="51"/>
    </row>
    <row r="152" spans="1:8" s="19" customFormat="1" ht="12.75" customHeight="1" hidden="1">
      <c r="A152" s="24"/>
      <c r="B152" s="52"/>
      <c r="C152" s="102"/>
      <c r="D152" s="102"/>
      <c r="E152" s="167"/>
      <c r="F152" s="51" t="s">
        <v>301</v>
      </c>
      <c r="G152" s="33"/>
      <c r="H152" s="33"/>
    </row>
    <row r="153" spans="1:8" s="19" customFormat="1" ht="12.75" customHeight="1" hidden="1">
      <c r="A153" s="24"/>
      <c r="B153" s="184"/>
      <c r="C153" s="238"/>
      <c r="D153" s="102"/>
      <c r="E153" s="167"/>
      <c r="F153" s="51" t="s">
        <v>301</v>
      </c>
      <c r="G153" s="33"/>
      <c r="H153" s="33"/>
    </row>
    <row r="154" spans="1:8" s="19" customFormat="1" ht="12.75" customHeight="1">
      <c r="A154" s="24" t="s">
        <v>376</v>
      </c>
      <c r="B154" s="240" t="s">
        <v>76</v>
      </c>
      <c r="C154" s="238">
        <v>244</v>
      </c>
      <c r="D154" s="102" t="s">
        <v>42</v>
      </c>
      <c r="E154" s="205">
        <f>44000-35022</f>
        <v>8978</v>
      </c>
      <c r="F154" s="267" t="s">
        <v>302</v>
      </c>
      <c r="G154" s="33"/>
      <c r="H154" s="291"/>
    </row>
    <row r="155" spans="1:8" s="19" customFormat="1" ht="25.5" customHeight="1">
      <c r="A155" s="24" t="s">
        <v>406</v>
      </c>
      <c r="B155" s="240" t="s">
        <v>76</v>
      </c>
      <c r="C155" s="238">
        <v>244</v>
      </c>
      <c r="D155" s="102" t="s">
        <v>42</v>
      </c>
      <c r="E155" s="167">
        <f>790+35022-3491-15584-5487-1405</f>
        <v>9845</v>
      </c>
      <c r="F155" s="51" t="s">
        <v>301</v>
      </c>
      <c r="G155" s="33"/>
      <c r="H155" s="293" t="s">
        <v>405</v>
      </c>
    </row>
    <row r="156" spans="1:8" s="19" customFormat="1" ht="25.5" customHeight="1">
      <c r="A156" s="288" t="s">
        <v>391</v>
      </c>
      <c r="B156" s="240" t="s">
        <v>76</v>
      </c>
      <c r="C156" s="238">
        <v>244</v>
      </c>
      <c r="D156" s="102" t="s">
        <v>42</v>
      </c>
      <c r="E156" s="167">
        <v>15584</v>
      </c>
      <c r="F156" s="51" t="s">
        <v>301</v>
      </c>
      <c r="G156" s="33"/>
      <c r="H156" s="292" t="s">
        <v>392</v>
      </c>
    </row>
    <row r="157" spans="1:8" s="19" customFormat="1" ht="23.25" customHeight="1">
      <c r="A157" s="24" t="s">
        <v>428</v>
      </c>
      <c r="B157" s="240" t="s">
        <v>76</v>
      </c>
      <c r="C157" s="238">
        <v>244</v>
      </c>
      <c r="D157" s="102" t="s">
        <v>42</v>
      </c>
      <c r="E157" s="167">
        <f>1000+4396</f>
        <v>5396</v>
      </c>
      <c r="F157" s="51" t="s">
        <v>301</v>
      </c>
      <c r="G157" s="33"/>
      <c r="H157" s="50" t="s">
        <v>429</v>
      </c>
    </row>
    <row r="158" spans="1:10" s="19" customFormat="1" ht="24" customHeight="1">
      <c r="A158" s="24" t="s">
        <v>329</v>
      </c>
      <c r="B158" s="240" t="s">
        <v>76</v>
      </c>
      <c r="C158" s="238">
        <v>244</v>
      </c>
      <c r="D158" s="102" t="s">
        <v>42</v>
      </c>
      <c r="E158" s="167">
        <v>3838</v>
      </c>
      <c r="F158" s="51" t="s">
        <v>301</v>
      </c>
      <c r="G158" s="33"/>
      <c r="H158" s="50" t="s">
        <v>430</v>
      </c>
      <c r="J158" s="242"/>
    </row>
    <row r="159" spans="1:8" s="19" customFormat="1" ht="24" customHeight="1">
      <c r="A159" s="24" t="s">
        <v>355</v>
      </c>
      <c r="B159" s="240" t="s">
        <v>76</v>
      </c>
      <c r="C159" s="238">
        <v>244</v>
      </c>
      <c r="D159" s="102" t="s">
        <v>42</v>
      </c>
      <c r="E159" s="167">
        <v>1224</v>
      </c>
      <c r="F159" s="51" t="s">
        <v>301</v>
      </c>
      <c r="G159" s="33"/>
      <c r="H159" s="50" t="s">
        <v>356</v>
      </c>
    </row>
    <row r="160" spans="1:8" s="19" customFormat="1" ht="24" customHeight="1">
      <c r="A160" s="24" t="s">
        <v>400</v>
      </c>
      <c r="B160" s="240" t="s">
        <v>76</v>
      </c>
      <c r="C160" s="238">
        <v>244</v>
      </c>
      <c r="D160" s="102" t="s">
        <v>42</v>
      </c>
      <c r="E160" s="167">
        <v>5700</v>
      </c>
      <c r="F160" s="51" t="s">
        <v>301</v>
      </c>
      <c r="G160" s="33"/>
      <c r="H160" s="50" t="s">
        <v>401</v>
      </c>
    </row>
    <row r="161" spans="1:8" s="19" customFormat="1" ht="24" customHeight="1">
      <c r="A161" s="24" t="s">
        <v>420</v>
      </c>
      <c r="B161" s="240" t="s">
        <v>76</v>
      </c>
      <c r="C161" s="238">
        <v>244</v>
      </c>
      <c r="D161" s="102" t="s">
        <v>42</v>
      </c>
      <c r="E161" s="167">
        <v>530</v>
      </c>
      <c r="F161" s="51" t="s">
        <v>301</v>
      </c>
      <c r="G161" s="33"/>
      <c r="H161" s="50" t="s">
        <v>421</v>
      </c>
    </row>
    <row r="162" spans="1:8" s="19" customFormat="1" ht="12.75" customHeight="1">
      <c r="A162" s="24" t="s">
        <v>422</v>
      </c>
      <c r="B162" s="240" t="s">
        <v>76</v>
      </c>
      <c r="C162" s="238">
        <v>244</v>
      </c>
      <c r="D162" s="102" t="s">
        <v>42</v>
      </c>
      <c r="E162" s="167">
        <f>17000-1000-3838-1224-790-5700+1405-530+77107.2</f>
        <v>82430.2</v>
      </c>
      <c r="F162" s="51" t="s">
        <v>301</v>
      </c>
      <c r="G162" s="33"/>
      <c r="H162" s="64" t="s">
        <v>423</v>
      </c>
    </row>
    <row r="163" spans="1:8" s="19" customFormat="1" ht="12.75" customHeight="1">
      <c r="A163" s="24" t="s">
        <v>41</v>
      </c>
      <c r="B163" s="240" t="s">
        <v>76</v>
      </c>
      <c r="C163" s="238">
        <v>244</v>
      </c>
      <c r="D163" s="102" t="s">
        <v>42</v>
      </c>
      <c r="E163" s="297">
        <f>100000-77107.2-4396</f>
        <v>18496.800000000003</v>
      </c>
      <c r="F163" s="51" t="s">
        <v>301</v>
      </c>
      <c r="G163" s="33"/>
      <c r="H163" s="33"/>
    </row>
    <row r="164" spans="1:8" s="19" customFormat="1" ht="12.75" customHeight="1" hidden="1">
      <c r="A164" s="24" t="s">
        <v>280</v>
      </c>
      <c r="B164" s="184"/>
      <c r="C164" s="238">
        <v>244</v>
      </c>
      <c r="D164" s="102" t="s">
        <v>42</v>
      </c>
      <c r="E164" s="167"/>
      <c r="F164" s="257" t="s">
        <v>276</v>
      </c>
      <c r="G164" s="33"/>
      <c r="H164" s="64"/>
    </row>
    <row r="165" spans="1:8" s="19" customFormat="1" ht="15" hidden="1">
      <c r="A165" s="24" t="s">
        <v>281</v>
      </c>
      <c r="B165" s="184"/>
      <c r="C165" s="238">
        <v>244</v>
      </c>
      <c r="D165" s="102" t="s">
        <v>42</v>
      </c>
      <c r="E165" s="167"/>
      <c r="F165" s="257" t="s">
        <v>276</v>
      </c>
      <c r="G165" s="47"/>
      <c r="H165" s="241"/>
    </row>
    <row r="166" spans="1:8" s="19" customFormat="1" ht="15" hidden="1">
      <c r="A166" s="24" t="s">
        <v>282</v>
      </c>
      <c r="B166" s="184"/>
      <c r="C166" s="238">
        <v>244</v>
      </c>
      <c r="D166" s="102" t="s">
        <v>42</v>
      </c>
      <c r="E166" s="167"/>
      <c r="F166" s="257" t="s">
        <v>276</v>
      </c>
      <c r="G166" s="47"/>
      <c r="H166" s="50"/>
    </row>
    <row r="167" spans="1:8" s="19" customFormat="1" ht="15" hidden="1">
      <c r="A167" s="24" t="s">
        <v>283</v>
      </c>
      <c r="B167" s="184"/>
      <c r="C167" s="238">
        <v>244</v>
      </c>
      <c r="D167" s="102" t="s">
        <v>42</v>
      </c>
      <c r="E167" s="167"/>
      <c r="F167" s="257" t="s">
        <v>276</v>
      </c>
      <c r="G167" s="47"/>
      <c r="H167" s="50"/>
    </row>
    <row r="168" spans="1:8" s="19" customFormat="1" ht="15" hidden="1">
      <c r="A168" s="24" t="s">
        <v>284</v>
      </c>
      <c r="B168" s="184"/>
      <c r="C168" s="238">
        <v>244</v>
      </c>
      <c r="D168" s="102" t="s">
        <v>42</v>
      </c>
      <c r="E168" s="167"/>
      <c r="F168" s="257" t="s">
        <v>276</v>
      </c>
      <c r="G168" s="47"/>
      <c r="H168" s="50"/>
    </row>
    <row r="169" spans="1:8" s="19" customFormat="1" ht="12.75" customHeight="1" hidden="1">
      <c r="A169" s="24" t="s">
        <v>41</v>
      </c>
      <c r="B169" s="184"/>
      <c r="C169" s="238">
        <v>244</v>
      </c>
      <c r="D169" s="102" t="s">
        <v>42</v>
      </c>
      <c r="E169" s="167"/>
      <c r="F169" s="257" t="s">
        <v>276</v>
      </c>
      <c r="G169" s="33"/>
      <c r="H169" s="33"/>
    </row>
    <row r="170" spans="1:8" s="19" customFormat="1" ht="24.75" customHeight="1" hidden="1">
      <c r="A170" s="24" t="s">
        <v>285</v>
      </c>
      <c r="B170" s="184"/>
      <c r="C170" s="238">
        <v>244</v>
      </c>
      <c r="D170" s="102" t="s">
        <v>42</v>
      </c>
      <c r="E170" s="167"/>
      <c r="F170" s="257" t="s">
        <v>276</v>
      </c>
      <c r="G170" s="33"/>
      <c r="H170" s="50"/>
    </row>
    <row r="171" spans="1:8" s="19" customFormat="1" ht="24.75" customHeight="1" hidden="1">
      <c r="A171" s="24" t="s">
        <v>286</v>
      </c>
      <c r="B171" s="184"/>
      <c r="C171" s="354">
        <v>244</v>
      </c>
      <c r="D171" s="102">
        <v>290</v>
      </c>
      <c r="E171" s="167"/>
      <c r="F171" s="356" t="s">
        <v>276</v>
      </c>
      <c r="G171" s="33"/>
      <c r="H171" s="358"/>
    </row>
    <row r="172" spans="1:8" s="19" customFormat="1" ht="24.75" customHeight="1" hidden="1">
      <c r="A172" s="24" t="s">
        <v>287</v>
      </c>
      <c r="B172" s="184"/>
      <c r="C172" s="355"/>
      <c r="D172" s="102">
        <v>340</v>
      </c>
      <c r="E172" s="167"/>
      <c r="F172" s="357"/>
      <c r="G172" s="33"/>
      <c r="H172" s="358"/>
    </row>
    <row r="173" spans="1:8" s="19" customFormat="1" ht="24.75" customHeight="1" hidden="1">
      <c r="A173" s="24"/>
      <c r="B173" s="240" t="s">
        <v>76</v>
      </c>
      <c r="C173" s="238">
        <v>244</v>
      </c>
      <c r="D173" s="102" t="s">
        <v>42</v>
      </c>
      <c r="E173" s="167"/>
      <c r="F173" s="257"/>
      <c r="G173" s="33"/>
      <c r="H173" s="190"/>
    </row>
    <row r="174" spans="1:12" s="19" customFormat="1" ht="24.75" customHeight="1" hidden="1">
      <c r="A174" s="24"/>
      <c r="B174" s="240" t="s">
        <v>76</v>
      </c>
      <c r="C174" s="238">
        <v>244</v>
      </c>
      <c r="D174" s="102" t="s">
        <v>42</v>
      </c>
      <c r="E174" s="167"/>
      <c r="F174" s="257"/>
      <c r="G174" s="33"/>
      <c r="H174" s="190"/>
      <c r="K174" s="19" t="s">
        <v>288</v>
      </c>
      <c r="L174" s="242" t="e">
        <f>E184+E183+E182+E181+E180+E178+E177+E176+E174+E173+E162+E157+#REF!</f>
        <v>#REF!</v>
      </c>
    </row>
    <row r="175" spans="1:11" s="19" customFormat="1" ht="24.75" customHeight="1" hidden="1">
      <c r="A175" s="24"/>
      <c r="B175" s="240" t="s">
        <v>76</v>
      </c>
      <c r="C175" s="238">
        <v>244</v>
      </c>
      <c r="D175" s="102" t="s">
        <v>42</v>
      </c>
      <c r="E175" s="167"/>
      <c r="F175" s="257"/>
      <c r="G175" s="33"/>
      <c r="H175" s="186"/>
      <c r="K175" s="242"/>
    </row>
    <row r="176" spans="1:8" s="19" customFormat="1" ht="24.75" customHeight="1" hidden="1">
      <c r="A176" s="24"/>
      <c r="B176" s="240" t="s">
        <v>76</v>
      </c>
      <c r="C176" s="238">
        <v>244</v>
      </c>
      <c r="D176" s="102" t="s">
        <v>42</v>
      </c>
      <c r="E176" s="167"/>
      <c r="F176" s="257"/>
      <c r="G176" s="33"/>
      <c r="H176" s="186"/>
    </row>
    <row r="177" spans="1:8" s="19" customFormat="1" ht="24.75" customHeight="1" hidden="1">
      <c r="A177" s="24"/>
      <c r="B177" s="240" t="s">
        <v>76</v>
      </c>
      <c r="C177" s="238">
        <v>244</v>
      </c>
      <c r="D177" s="102" t="s">
        <v>42</v>
      </c>
      <c r="E177" s="167"/>
      <c r="F177" s="257"/>
      <c r="G177" s="33"/>
      <c r="H177" s="186"/>
    </row>
    <row r="178" spans="1:8" s="19" customFormat="1" ht="39" customHeight="1" hidden="1">
      <c r="A178" s="24"/>
      <c r="B178" s="52" t="s">
        <v>76</v>
      </c>
      <c r="C178" s="102">
        <v>244</v>
      </c>
      <c r="D178" s="102" t="s">
        <v>42</v>
      </c>
      <c r="E178" s="167"/>
      <c r="F178" s="257"/>
      <c r="G178" s="33"/>
      <c r="H178" s="99"/>
    </row>
    <row r="179" spans="1:8" s="19" customFormat="1" ht="32.25" customHeight="1" hidden="1">
      <c r="A179" s="24"/>
      <c r="B179" s="240" t="s">
        <v>76</v>
      </c>
      <c r="C179" s="238">
        <v>244</v>
      </c>
      <c r="D179" s="102" t="s">
        <v>42</v>
      </c>
      <c r="E179" s="167"/>
      <c r="F179" s="257"/>
      <c r="G179" s="33"/>
      <c r="H179" s="50"/>
    </row>
    <row r="180" spans="1:8" s="19" customFormat="1" ht="12.75" customHeight="1" hidden="1">
      <c r="A180" s="24"/>
      <c r="B180" s="240" t="s">
        <v>76</v>
      </c>
      <c r="C180" s="238">
        <v>244</v>
      </c>
      <c r="D180" s="102" t="s">
        <v>42</v>
      </c>
      <c r="E180" s="167"/>
      <c r="F180" s="257"/>
      <c r="G180" s="33"/>
      <c r="H180" s="33"/>
    </row>
    <row r="181" spans="1:8" s="19" customFormat="1" ht="24" customHeight="1" hidden="1">
      <c r="A181" s="24"/>
      <c r="B181" s="240" t="s">
        <v>76</v>
      </c>
      <c r="C181" s="238">
        <v>244</v>
      </c>
      <c r="D181" s="102" t="s">
        <v>42</v>
      </c>
      <c r="E181" s="167"/>
      <c r="F181" s="257"/>
      <c r="G181" s="33"/>
      <c r="H181" s="50"/>
    </row>
    <row r="182" spans="1:8" s="19" customFormat="1" ht="12.75" customHeight="1" hidden="1">
      <c r="A182" s="24"/>
      <c r="B182" s="240" t="s">
        <v>76</v>
      </c>
      <c r="C182" s="238">
        <v>244</v>
      </c>
      <c r="D182" s="102" t="s">
        <v>42</v>
      </c>
      <c r="E182" s="167"/>
      <c r="F182" s="257"/>
      <c r="G182" s="33"/>
      <c r="H182" s="33"/>
    </row>
    <row r="183" spans="1:8" s="19" customFormat="1" ht="12.75" customHeight="1" hidden="1">
      <c r="A183" s="24"/>
      <c r="B183" s="240" t="s">
        <v>76</v>
      </c>
      <c r="C183" s="238">
        <v>244</v>
      </c>
      <c r="D183" s="102" t="s">
        <v>42</v>
      </c>
      <c r="E183" s="167"/>
      <c r="F183" s="257"/>
      <c r="G183" s="33"/>
      <c r="H183" s="33"/>
    </row>
    <row r="184" spans="1:8" s="19" customFormat="1" ht="12.75" customHeight="1" hidden="1">
      <c r="A184" s="24"/>
      <c r="B184" s="240" t="s">
        <v>76</v>
      </c>
      <c r="C184" s="238">
        <v>244</v>
      </c>
      <c r="D184" s="102" t="s">
        <v>42</v>
      </c>
      <c r="E184" s="167"/>
      <c r="F184" s="257"/>
      <c r="G184" s="33"/>
      <c r="H184" s="33"/>
    </row>
    <row r="185" spans="1:7" ht="34.5" customHeight="1">
      <c r="A185" s="13"/>
      <c r="B185" s="13"/>
      <c r="C185" s="13"/>
      <c r="D185" s="14"/>
      <c r="E185" s="243" t="s">
        <v>91</v>
      </c>
      <c r="F185" s="257" t="s">
        <v>92</v>
      </c>
      <c r="G185" s="32"/>
    </row>
    <row r="186" spans="1:7" ht="15">
      <c r="A186" s="35" t="s">
        <v>66</v>
      </c>
      <c r="B186" s="36" t="s">
        <v>294</v>
      </c>
      <c r="C186" s="36"/>
      <c r="D186" s="37">
        <v>0.5</v>
      </c>
      <c r="E186" s="244">
        <f>E9*D186</f>
        <v>1082041.0850000002</v>
      </c>
      <c r="F186" s="261">
        <f>E25+E26+E72+E74+E94+E23+E27+E24+E145+E143+E142+E144+E154+E28+E41</f>
        <v>786844.47</v>
      </c>
      <c r="G186" s="245">
        <f>E186-F186</f>
        <v>295196.6150000002</v>
      </c>
    </row>
    <row r="187" spans="1:7" ht="14.25" customHeight="1">
      <c r="A187" s="35" t="s">
        <v>67</v>
      </c>
      <c r="B187" s="36" t="s">
        <v>295</v>
      </c>
      <c r="C187" s="36"/>
      <c r="D187" s="37" t="s">
        <v>80</v>
      </c>
      <c r="E187" s="244">
        <v>2000000</v>
      </c>
      <c r="F187" s="262">
        <f>E162+E159+E158+E157+E155+E146+E138+E87+E136+E134+E131+E130+E124+E156+E123+E122+E121+E118+E114+E111+E92+E91+E90+E88+E86+E85+E81+E77+E115+E76+E75+E67+E66+E50+E32+E31+E22+E21+E15+E14+E53+E147+E83+E89+E140+E141+E139+E112+E137+E113+E160+E119+E120+E125+E116+E68+E126+E163+E117+E132+E42+E161+E127+E128+E129+E56</f>
        <v>775159.43</v>
      </c>
      <c r="G187" s="245">
        <f>E187-F187</f>
        <v>1224840.5699999998</v>
      </c>
    </row>
    <row r="188" spans="1:7" ht="15">
      <c r="A188" s="35" t="s">
        <v>68</v>
      </c>
      <c r="B188" s="36"/>
      <c r="C188" s="36"/>
      <c r="D188" s="37">
        <v>0.1</v>
      </c>
      <c r="E188" s="244">
        <f>E9*D188</f>
        <v>216408.21700000006</v>
      </c>
      <c r="F188" s="257"/>
      <c r="G188" s="32"/>
    </row>
    <row r="189" spans="1:7" ht="15">
      <c r="A189" s="35" t="s">
        <v>69</v>
      </c>
      <c r="B189" s="36"/>
      <c r="C189" s="36"/>
      <c r="D189" s="37">
        <v>0.15</v>
      </c>
      <c r="E189" s="246">
        <v>0</v>
      </c>
      <c r="F189" s="257"/>
      <c r="G189" s="32"/>
    </row>
    <row r="190" spans="1:7" ht="15">
      <c r="A190" s="35" t="s">
        <v>70</v>
      </c>
      <c r="B190" s="36" t="s">
        <v>296</v>
      </c>
      <c r="C190" s="36"/>
      <c r="D190" s="35"/>
      <c r="E190" s="247"/>
      <c r="F190" s="263"/>
      <c r="G190" s="32"/>
    </row>
    <row r="191" spans="1:7" ht="15">
      <c r="A191" s="35" t="s">
        <v>71</v>
      </c>
      <c r="B191" s="36" t="s">
        <v>297</v>
      </c>
      <c r="C191" s="36"/>
      <c r="D191" s="19"/>
      <c r="E191" s="247"/>
      <c r="F191" s="263">
        <f>E43+E45</f>
        <v>163100</v>
      </c>
      <c r="G191" s="32"/>
    </row>
    <row r="192" spans="1:7" ht="15">
      <c r="A192" s="35" t="s">
        <v>72</v>
      </c>
      <c r="B192" s="36" t="s">
        <v>298</v>
      </c>
      <c r="C192" s="36"/>
      <c r="D192" s="19"/>
      <c r="E192" s="247"/>
      <c r="F192" s="263">
        <f>E46</f>
        <v>151300</v>
      </c>
      <c r="G192" s="32"/>
    </row>
    <row r="193" spans="1:7" ht="15">
      <c r="A193" s="35" t="s">
        <v>73</v>
      </c>
      <c r="B193" s="36" t="s">
        <v>299</v>
      </c>
      <c r="C193" s="36"/>
      <c r="D193" s="19"/>
      <c r="E193" s="247"/>
      <c r="F193" s="264"/>
      <c r="G193" s="32"/>
    </row>
    <row r="194" spans="1:7" ht="15">
      <c r="A194" s="35" t="s">
        <v>74</v>
      </c>
      <c r="B194" s="35" t="s">
        <v>300</v>
      </c>
      <c r="C194" s="35"/>
      <c r="D194" s="19"/>
      <c r="E194" s="247"/>
      <c r="F194" s="257"/>
      <c r="G194" s="32"/>
    </row>
    <row r="195" spans="1:7" ht="15">
      <c r="A195" s="35" t="s">
        <v>75</v>
      </c>
      <c r="E195" s="32"/>
      <c r="F195" s="264"/>
      <c r="G195" s="32"/>
    </row>
    <row r="196" spans="1:7" ht="15">
      <c r="A196" s="248" t="s">
        <v>246</v>
      </c>
      <c r="E196" s="32"/>
      <c r="F196" s="266">
        <f>E84+E82+E30+E16+E133+E135</f>
        <v>287678.27</v>
      </c>
      <c r="G196" s="32"/>
    </row>
    <row r="198" ht="15">
      <c r="F198" s="255" t="b">
        <f>SUM(F186:F196)=E9</f>
        <v>1</v>
      </c>
    </row>
    <row r="200" spans="1:4" ht="15">
      <c r="A200" s="249"/>
      <c r="B200" s="250"/>
      <c r="C200" s="251"/>
      <c r="D200" s="251"/>
    </row>
  </sheetData>
  <sheetProtection/>
  <mergeCells count="53">
    <mergeCell ref="A4:E4"/>
    <mergeCell ref="A6:A8"/>
    <mergeCell ref="B6:B8"/>
    <mergeCell ref="C6:C8"/>
    <mergeCell ref="D6:D8"/>
    <mergeCell ref="E6:E7"/>
    <mergeCell ref="H34:H35"/>
    <mergeCell ref="G25:G28"/>
    <mergeCell ref="F6:F8"/>
    <mergeCell ref="H14:H15"/>
    <mergeCell ref="G6:H6"/>
    <mergeCell ref="G7:G8"/>
    <mergeCell ref="H32:H33"/>
    <mergeCell ref="A32:A33"/>
    <mergeCell ref="C32:C33"/>
    <mergeCell ref="D32:D33"/>
    <mergeCell ref="H7:H8"/>
    <mergeCell ref="H16:H17"/>
    <mergeCell ref="A34:A35"/>
    <mergeCell ref="C34:C35"/>
    <mergeCell ref="D34:D35"/>
    <mergeCell ref="F34:F35"/>
    <mergeCell ref="D102:D103"/>
    <mergeCell ref="A80:D80"/>
    <mergeCell ref="H87:H88"/>
    <mergeCell ref="A93:D93"/>
    <mergeCell ref="B101:B106"/>
    <mergeCell ref="F51:F52"/>
    <mergeCell ref="G51:G52"/>
    <mergeCell ref="H51:H52"/>
    <mergeCell ref="A79:H79"/>
    <mergeCell ref="G72:G74"/>
    <mergeCell ref="A67:A68"/>
    <mergeCell ref="F67:F68"/>
    <mergeCell ref="H67:H68"/>
    <mergeCell ref="C171:C172"/>
    <mergeCell ref="F171:F172"/>
    <mergeCell ref="H171:H172"/>
    <mergeCell ref="H142:H143"/>
    <mergeCell ref="G142:G143"/>
    <mergeCell ref="F142:F143"/>
    <mergeCell ref="H146:H147"/>
    <mergeCell ref="F146:F147"/>
    <mergeCell ref="A108:E108"/>
    <mergeCell ref="A109:E109"/>
    <mergeCell ref="F138:F139"/>
    <mergeCell ref="H140:H141"/>
    <mergeCell ref="A138:A139"/>
    <mergeCell ref="H138:H139"/>
    <mergeCell ref="A140:A141"/>
    <mergeCell ref="F140:F141"/>
    <mergeCell ref="H119:H120"/>
    <mergeCell ref="A119:A120"/>
  </mergeCells>
  <printOptions/>
  <pageMargins left="0.5905511811023623" right="0.1968503937007874" top="0.7874015748031497" bottom="0.3937007874015748" header="0.5118110236220472" footer="0.5118110236220472"/>
  <pageSetup fitToHeight="2" horizontalDpi="600" verticalDpi="600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4"/>
  <sheetViews>
    <sheetView view="pageBreakPreview" zoomScaleSheetLayoutView="100" zoomScalePageLayoutView="0" workbookViewId="0" topLeftCell="A56">
      <selection activeCell="N124" sqref="N124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8.62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290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17785800</v>
      </c>
      <c r="I14" s="115">
        <f>I20</f>
        <v>16509300</v>
      </c>
      <c r="J14" s="115"/>
      <c r="K14" s="115">
        <f>K26</f>
        <v>0</v>
      </c>
      <c r="L14" s="116" t="s">
        <v>146</v>
      </c>
      <c r="M14" s="116" t="s">
        <v>146</v>
      </c>
      <c r="N14" s="115">
        <f>N15</f>
        <v>1276500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1276500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1276500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120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151</v>
      </c>
      <c r="G17" s="124"/>
      <c r="H17" s="121">
        <f>N17</f>
        <v>1276500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v>1276500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151</v>
      </c>
      <c r="G18" s="124"/>
      <c r="H18" s="121">
        <f>N18</f>
        <v>0</v>
      </c>
      <c r="I18" s="122" t="s">
        <v>146</v>
      </c>
      <c r="J18" s="122"/>
      <c r="K18" s="122" t="s">
        <v>146</v>
      </c>
      <c r="L18" s="122"/>
      <c r="M18" s="122"/>
      <c r="N18" s="121"/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153</v>
      </c>
      <c r="G19" s="124"/>
      <c r="H19" s="121">
        <f>N19</f>
        <v>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/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130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130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 hidden="1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0</v>
      </c>
      <c r="I26" s="173" t="s">
        <v>146</v>
      </c>
      <c r="J26" s="172"/>
      <c r="K26" s="173">
        <f>K31+K30</f>
        <v>0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5.5" hidden="1">
      <c r="A30" s="123" t="s">
        <v>239</v>
      </c>
      <c r="B30" s="124"/>
      <c r="C30" s="124" t="s">
        <v>108</v>
      </c>
      <c r="D30" s="124" t="s">
        <v>150</v>
      </c>
      <c r="E30" s="124"/>
      <c r="F30" s="128" t="s">
        <v>153</v>
      </c>
      <c r="G30" s="124"/>
      <c r="H30" s="121">
        <f>K30</f>
        <v>0</v>
      </c>
      <c r="I30" s="121"/>
      <c r="J30" s="121"/>
      <c r="K30" s="121"/>
      <c r="L30" s="121"/>
      <c r="M30" s="121"/>
      <c r="N30" s="121"/>
      <c r="O30" s="143"/>
    </row>
    <row r="31" spans="1:15" s="103" customFormat="1" ht="33.75" customHeight="1" hidden="1">
      <c r="A31" s="123" t="s">
        <v>237</v>
      </c>
      <c r="B31" s="124"/>
      <c r="C31" s="124" t="s">
        <v>78</v>
      </c>
      <c r="D31" s="124" t="s">
        <v>150</v>
      </c>
      <c r="E31" s="124"/>
      <c r="F31" s="128" t="s">
        <v>153</v>
      </c>
      <c r="G31" s="124"/>
      <c r="H31" s="121">
        <f>K31</f>
        <v>0</v>
      </c>
      <c r="I31" s="121"/>
      <c r="J31" s="121"/>
      <c r="K31" s="121"/>
      <c r="L31" s="121"/>
      <c r="M31" s="121"/>
      <c r="N31" s="121"/>
      <c r="O31" s="135"/>
    </row>
    <row r="32" spans="1:15" s="140" customFormat="1" ht="12.75">
      <c r="A32" s="136" t="s">
        <v>166</v>
      </c>
      <c r="B32" s="137" t="s">
        <v>167</v>
      </c>
      <c r="C32" s="137" t="s">
        <v>146</v>
      </c>
      <c r="D32" s="137" t="s">
        <v>146</v>
      </c>
      <c r="E32" s="137" t="s">
        <v>146</v>
      </c>
      <c r="F32" s="137" t="s">
        <v>146</v>
      </c>
      <c r="G32" s="137" t="s">
        <v>146</v>
      </c>
      <c r="H32" s="138">
        <f>I32+N32+K32</f>
        <v>17804586.17</v>
      </c>
      <c r="I32" s="138">
        <f>I56+I74+I90</f>
        <v>16509300</v>
      </c>
      <c r="J32" s="138"/>
      <c r="K32" s="138">
        <f>K107+K105</f>
        <v>0</v>
      </c>
      <c r="L32" s="138"/>
      <c r="M32" s="138"/>
      <c r="N32" s="138">
        <f>N111</f>
        <v>1295286.17</v>
      </c>
      <c r="O32" s="139"/>
    </row>
    <row r="33" spans="1:15" s="140" customFormat="1" ht="12.75">
      <c r="A33" s="123" t="s">
        <v>168</v>
      </c>
      <c r="B33" s="124" t="s">
        <v>169</v>
      </c>
      <c r="C33" s="141" t="s">
        <v>146</v>
      </c>
      <c r="D33" s="141" t="s">
        <v>146</v>
      </c>
      <c r="E33" s="141" t="s">
        <v>146</v>
      </c>
      <c r="F33" s="141" t="s">
        <v>146</v>
      </c>
      <c r="G33" s="141" t="s">
        <v>146</v>
      </c>
      <c r="H33" s="121">
        <f>I33+N33</f>
        <v>12812300</v>
      </c>
      <c r="I33" s="121">
        <f>I57+I58+I59</f>
        <v>11987300</v>
      </c>
      <c r="J33" s="121"/>
      <c r="K33" s="121">
        <v>0</v>
      </c>
      <c r="L33" s="121"/>
      <c r="M33" s="121"/>
      <c r="N33" s="121">
        <f>N112+N113</f>
        <v>825000</v>
      </c>
      <c r="O33" s="120" t="s">
        <v>146</v>
      </c>
    </row>
    <row r="34" spans="1:15" s="140" customFormat="1" ht="25.5">
      <c r="A34" s="142" t="s">
        <v>170</v>
      </c>
      <c r="B34" s="124" t="s">
        <v>171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16670500</v>
      </c>
      <c r="I34" s="121">
        <f>I57+I58+I60+I61</f>
        <v>15605500</v>
      </c>
      <c r="J34" s="121"/>
      <c r="K34" s="121">
        <v>0</v>
      </c>
      <c r="L34" s="121"/>
      <c r="M34" s="121"/>
      <c r="N34" s="121">
        <f>N112+N114</f>
        <v>1065000</v>
      </c>
      <c r="O34" s="120" t="s">
        <v>146</v>
      </c>
    </row>
    <row r="35" spans="1:15" s="140" customFormat="1" ht="9.75" customHeight="1">
      <c r="A35" s="123" t="s">
        <v>172</v>
      </c>
      <c r="B35" s="124" t="s">
        <v>173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/>
      <c r="I35" s="121"/>
      <c r="J35" s="121"/>
      <c r="K35" s="121">
        <v>0</v>
      </c>
      <c r="L35" s="121"/>
      <c r="M35" s="121"/>
      <c r="N35" s="121"/>
      <c r="O35" s="120" t="s">
        <v>146</v>
      </c>
    </row>
    <row r="36" spans="1:15" s="140" customFormat="1" ht="25.5">
      <c r="A36" s="123" t="s">
        <v>174</v>
      </c>
      <c r="B36" s="124" t="s">
        <v>175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>
        <f>I36+N36</f>
        <v>9500</v>
      </c>
      <c r="I36" s="121">
        <f>I86+I87</f>
        <v>7500</v>
      </c>
      <c r="J36" s="121"/>
      <c r="K36" s="121">
        <v>0</v>
      </c>
      <c r="L36" s="121"/>
      <c r="M36" s="121"/>
      <c r="N36" s="121">
        <f>N124</f>
        <v>2000</v>
      </c>
      <c r="O36" s="120" t="s">
        <v>146</v>
      </c>
    </row>
    <row r="37" spans="1:15" s="140" customFormat="1" ht="13.5" customHeight="1" hidden="1">
      <c r="A37" s="123" t="s">
        <v>176</v>
      </c>
      <c r="B37" s="124" t="s">
        <v>177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/>
      <c r="I37" s="121"/>
      <c r="J37" s="121"/>
      <c r="K37" s="121"/>
      <c r="L37" s="121"/>
      <c r="M37" s="121"/>
      <c r="N37" s="121"/>
      <c r="O37" s="143"/>
    </row>
    <row r="38" spans="1:15" s="140" customFormat="1" ht="12.75" hidden="1">
      <c r="A38" s="144"/>
      <c r="B38" s="124"/>
      <c r="C38" s="124"/>
      <c r="D38" s="124"/>
      <c r="E38" s="124"/>
      <c r="F38" s="124"/>
      <c r="G38" s="124"/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5" t="s">
        <v>178</v>
      </c>
      <c r="B41" s="124"/>
      <c r="C41" s="124"/>
      <c r="D41" s="146"/>
      <c r="E41" s="124"/>
      <c r="F41" s="146"/>
      <c r="G41" s="124"/>
      <c r="H41" s="121"/>
      <c r="I41" s="121">
        <f>I42+I43+I44+I45+I46+I49+I50+I53+I55+I47</f>
        <v>12453200</v>
      </c>
      <c r="J41" s="121"/>
      <c r="K41" s="121"/>
      <c r="L41" s="121"/>
      <c r="M41" s="121"/>
      <c r="N41" s="121"/>
      <c r="O41" s="143"/>
    </row>
    <row r="42" spans="1:15" s="140" customFormat="1" ht="12.75" hidden="1">
      <c r="A42" s="142" t="s">
        <v>15</v>
      </c>
      <c r="B42" s="124"/>
      <c r="C42" s="124"/>
      <c r="D42" s="124"/>
      <c r="E42" s="124"/>
      <c r="F42" s="124" t="s">
        <v>171</v>
      </c>
      <c r="G42" s="124"/>
      <c r="H42" s="121"/>
      <c r="I42" s="121">
        <f>I57+I91</f>
        <v>8870500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16</v>
      </c>
      <c r="B43" s="124"/>
      <c r="C43" s="124"/>
      <c r="D43" s="124"/>
      <c r="E43" s="124"/>
      <c r="F43" s="124" t="s">
        <v>179</v>
      </c>
      <c r="G43" s="124"/>
      <c r="H43" s="121"/>
      <c r="I43" s="121">
        <f>I59</f>
        <v>1500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17</v>
      </c>
      <c r="B44" s="124"/>
      <c r="C44" s="124"/>
      <c r="D44" s="124"/>
      <c r="E44" s="124"/>
      <c r="F44" s="124" t="s">
        <v>180</v>
      </c>
      <c r="G44" s="124"/>
      <c r="H44" s="121"/>
      <c r="I44" s="121">
        <f>I60+I93</f>
        <v>2678900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18</v>
      </c>
      <c r="B45" s="124"/>
      <c r="C45" s="124"/>
      <c r="D45" s="124"/>
      <c r="E45" s="124"/>
      <c r="F45" s="124" t="s">
        <v>181</v>
      </c>
      <c r="G45" s="124"/>
      <c r="H45" s="121"/>
      <c r="I45" s="121">
        <f>I62</f>
        <v>25000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19</v>
      </c>
      <c r="B46" s="124"/>
      <c r="C46" s="124"/>
      <c r="D46" s="124"/>
      <c r="E46" s="124"/>
      <c r="F46" s="124" t="s">
        <v>182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20</v>
      </c>
      <c r="B47" s="124"/>
      <c r="C47" s="124"/>
      <c r="D47" s="124"/>
      <c r="E47" s="124"/>
      <c r="F47" s="124" t="s">
        <v>183</v>
      </c>
      <c r="G47" s="124"/>
      <c r="H47" s="121"/>
      <c r="I47" s="121">
        <f>I80</f>
        <v>314400</v>
      </c>
      <c r="J47" s="121"/>
      <c r="K47" s="121"/>
      <c r="L47" s="121"/>
      <c r="M47" s="121"/>
      <c r="N47" s="121"/>
      <c r="O47" s="143"/>
    </row>
    <row r="48" spans="1:15" s="140" customFormat="1" ht="25.5" hidden="1">
      <c r="A48" s="142" t="s">
        <v>21</v>
      </c>
      <c r="B48" s="124"/>
      <c r="C48" s="124"/>
      <c r="D48" s="124"/>
      <c r="E48" s="124"/>
      <c r="F48" s="124"/>
      <c r="G48" s="124"/>
      <c r="H48" s="121"/>
      <c r="I48" s="121"/>
      <c r="J48" s="121"/>
      <c r="K48" s="121"/>
      <c r="L48" s="121"/>
      <c r="M48" s="121"/>
      <c r="N48" s="121"/>
      <c r="O48" s="143"/>
    </row>
    <row r="49" spans="1:15" s="140" customFormat="1" ht="12.75" hidden="1">
      <c r="A49" s="142" t="s">
        <v>22</v>
      </c>
      <c r="B49" s="124"/>
      <c r="C49" s="124"/>
      <c r="D49" s="124"/>
      <c r="E49" s="124"/>
      <c r="F49" s="124" t="s">
        <v>184</v>
      </c>
      <c r="G49" s="124"/>
      <c r="H49" s="121"/>
      <c r="I49" s="121">
        <f>I82</f>
        <v>127500</v>
      </c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23</v>
      </c>
      <c r="B50" s="124"/>
      <c r="C50" s="124"/>
      <c r="D50" s="124"/>
      <c r="E50" s="124"/>
      <c r="F50" s="124" t="s">
        <v>185</v>
      </c>
      <c r="G50" s="124"/>
      <c r="H50" s="121"/>
      <c r="I50" s="121">
        <f>I67+I83</f>
        <v>355400</v>
      </c>
      <c r="J50" s="121"/>
      <c r="K50" s="121"/>
      <c r="L50" s="121"/>
      <c r="M50" s="121"/>
      <c r="N50" s="121"/>
      <c r="O50" s="143"/>
    </row>
    <row r="51" spans="1:15" s="140" customFormat="1" ht="25.5" hidden="1">
      <c r="A51" s="142" t="s">
        <v>24</v>
      </c>
      <c r="B51" s="124"/>
      <c r="C51" s="124"/>
      <c r="D51" s="124"/>
      <c r="E51" s="124"/>
      <c r="F51" s="124"/>
      <c r="G51" s="124"/>
      <c r="H51" s="121"/>
      <c r="I51" s="121"/>
      <c r="J51" s="121"/>
      <c r="K51" s="121"/>
      <c r="L51" s="121"/>
      <c r="M51" s="121"/>
      <c r="N51" s="121"/>
      <c r="O51" s="143"/>
    </row>
    <row r="52" spans="1:15" s="140" customFormat="1" ht="12.75" hidden="1">
      <c r="A52" s="142" t="s">
        <v>25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26</v>
      </c>
      <c r="B53" s="124"/>
      <c r="C53" s="124"/>
      <c r="D53" s="124"/>
      <c r="E53" s="124"/>
      <c r="F53" s="124" t="s">
        <v>186</v>
      </c>
      <c r="G53" s="124"/>
      <c r="H53" s="121"/>
      <c r="I53" s="121">
        <f>I71+I86+I87</f>
        <v>21500</v>
      </c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27</v>
      </c>
      <c r="B54" s="124"/>
      <c r="C54" s="124"/>
      <c r="D54" s="124"/>
      <c r="E54" s="124"/>
      <c r="F54" s="124" t="s">
        <v>187</v>
      </c>
      <c r="G54" s="124"/>
      <c r="H54" s="121"/>
      <c r="I54" s="121"/>
      <c r="J54" s="121"/>
      <c r="K54" s="121"/>
      <c r="L54" s="121"/>
      <c r="M54" s="121"/>
      <c r="N54" s="121"/>
      <c r="O54" s="143"/>
    </row>
    <row r="55" spans="1:15" s="140" customFormat="1" ht="25.5" hidden="1">
      <c r="A55" s="142" t="s">
        <v>28</v>
      </c>
      <c r="B55" s="124"/>
      <c r="C55" s="124"/>
      <c r="D55" s="124"/>
      <c r="E55" s="124"/>
      <c r="F55" s="124" t="s">
        <v>188</v>
      </c>
      <c r="G55" s="124"/>
      <c r="H55" s="121"/>
      <c r="I55" s="121">
        <f>I73+I89</f>
        <v>33500</v>
      </c>
      <c r="J55" s="121"/>
      <c r="K55" s="121"/>
      <c r="L55" s="121"/>
      <c r="M55" s="121"/>
      <c r="N55" s="121"/>
      <c r="O55" s="143"/>
    </row>
    <row r="56" spans="1:15" s="140" customFormat="1" ht="33.75" customHeight="1">
      <c r="A56" s="403" t="s">
        <v>189</v>
      </c>
      <c r="B56" s="404"/>
      <c r="C56" s="147" t="s">
        <v>47</v>
      </c>
      <c r="D56" s="131"/>
      <c r="E56" s="147"/>
      <c r="F56" s="131"/>
      <c r="G56" s="131"/>
      <c r="H56" s="148">
        <f>I56</f>
        <v>15857900</v>
      </c>
      <c r="I56" s="148">
        <f>I57+I59+I60+I62+I63+I67+I71+I73+I58+I61+I70</f>
        <v>15857900</v>
      </c>
      <c r="J56" s="133"/>
      <c r="K56" s="149" t="s">
        <v>190</v>
      </c>
      <c r="L56" s="149"/>
      <c r="M56" s="149"/>
      <c r="N56" s="149" t="s">
        <v>190</v>
      </c>
      <c r="O56" s="135"/>
    </row>
    <row r="57" spans="1:15" s="140" customFormat="1" ht="12.75">
      <c r="A57" s="399" t="s">
        <v>15</v>
      </c>
      <c r="B57" s="405"/>
      <c r="C57" s="392" t="s">
        <v>47</v>
      </c>
      <c r="D57" s="124" t="s">
        <v>150</v>
      </c>
      <c r="E57" s="392" t="s">
        <v>191</v>
      </c>
      <c r="F57" s="392" t="s">
        <v>171</v>
      </c>
      <c r="G57" s="392" t="s">
        <v>192</v>
      </c>
      <c r="H57" s="121">
        <f>I57</f>
        <v>8870500</v>
      </c>
      <c r="I57" s="121">
        <v>8870500</v>
      </c>
      <c r="J57" s="121"/>
      <c r="K57" s="125" t="s">
        <v>146</v>
      </c>
      <c r="L57" s="125" t="s">
        <v>146</v>
      </c>
      <c r="M57" s="125" t="s">
        <v>146</v>
      </c>
      <c r="N57" s="125" t="s">
        <v>146</v>
      </c>
      <c r="O57" s="119" t="s">
        <v>146</v>
      </c>
    </row>
    <row r="58" spans="1:15" s="140" customFormat="1" ht="12.75">
      <c r="A58" s="400"/>
      <c r="B58" s="406"/>
      <c r="C58" s="394"/>
      <c r="D58" s="120" t="s">
        <v>156</v>
      </c>
      <c r="E58" s="394"/>
      <c r="F58" s="394"/>
      <c r="G58" s="394"/>
      <c r="H58" s="121">
        <f>I58</f>
        <v>3115300</v>
      </c>
      <c r="I58" s="121">
        <v>3115300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/>
    </row>
    <row r="59" spans="1:15" s="140" customFormat="1" ht="12.75">
      <c r="A59" s="142" t="s">
        <v>16</v>
      </c>
      <c r="B59" s="124"/>
      <c r="C59" s="124" t="s">
        <v>47</v>
      </c>
      <c r="D59" s="124" t="s">
        <v>150</v>
      </c>
      <c r="E59" s="124" t="s">
        <v>191</v>
      </c>
      <c r="F59" s="124" t="s">
        <v>179</v>
      </c>
      <c r="G59" s="124" t="s">
        <v>193</v>
      </c>
      <c r="H59" s="121">
        <f aca="true" t="shared" si="0" ref="H59:H73">I59</f>
        <v>1500</v>
      </c>
      <c r="I59" s="121">
        <v>1500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 t="s">
        <v>146</v>
      </c>
    </row>
    <row r="60" spans="1:15" s="140" customFormat="1" ht="12.75">
      <c r="A60" s="409" t="s">
        <v>17</v>
      </c>
      <c r="B60" s="405"/>
      <c r="C60" s="392" t="s">
        <v>47</v>
      </c>
      <c r="D60" s="124" t="s">
        <v>150</v>
      </c>
      <c r="E60" s="392" t="s">
        <v>191</v>
      </c>
      <c r="F60" s="392" t="s">
        <v>180</v>
      </c>
      <c r="G60" s="392" t="s">
        <v>194</v>
      </c>
      <c r="H60" s="121">
        <f t="shared" si="0"/>
        <v>2678900</v>
      </c>
      <c r="I60" s="121">
        <v>2678900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10"/>
      <c r="B61" s="406"/>
      <c r="C61" s="394"/>
      <c r="D61" s="120" t="s">
        <v>156</v>
      </c>
      <c r="E61" s="394"/>
      <c r="F61" s="394"/>
      <c r="G61" s="394"/>
      <c r="H61" s="121">
        <f t="shared" si="0"/>
        <v>940800</v>
      </c>
      <c r="I61" s="121">
        <v>940800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/>
    </row>
    <row r="62" spans="1:15" s="140" customFormat="1" ht="12.75">
      <c r="A62" s="142" t="s">
        <v>18</v>
      </c>
      <c r="B62" s="124"/>
      <c r="C62" s="124" t="s">
        <v>47</v>
      </c>
      <c r="D62" s="124" t="s">
        <v>150</v>
      </c>
      <c r="E62" s="124" t="s">
        <v>191</v>
      </c>
      <c r="F62" s="124" t="s">
        <v>181</v>
      </c>
      <c r="G62" s="124" t="s">
        <v>195</v>
      </c>
      <c r="H62" s="121">
        <f t="shared" si="0"/>
        <v>25000</v>
      </c>
      <c r="I62" s="277">
        <v>25000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 t="s">
        <v>146</v>
      </c>
    </row>
    <row r="63" spans="1:15" s="140" customFormat="1" ht="12.75">
      <c r="A63" s="142" t="s">
        <v>19</v>
      </c>
      <c r="B63" s="124"/>
      <c r="C63" s="124" t="s">
        <v>47</v>
      </c>
      <c r="D63" s="124" t="s">
        <v>150</v>
      </c>
      <c r="E63" s="124" t="s">
        <v>191</v>
      </c>
      <c r="F63" s="124" t="s">
        <v>182</v>
      </c>
      <c r="G63" s="124" t="s">
        <v>195</v>
      </c>
      <c r="H63" s="121">
        <f t="shared" si="0"/>
        <v>25000</v>
      </c>
      <c r="I63" s="277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 hidden="1">
      <c r="A64" s="142" t="s">
        <v>20</v>
      </c>
      <c r="B64" s="124"/>
      <c r="C64" s="124" t="s">
        <v>47</v>
      </c>
      <c r="D64" s="124" t="s">
        <v>150</v>
      </c>
      <c r="E64" s="124" t="s">
        <v>191</v>
      </c>
      <c r="F64" s="124"/>
      <c r="G64" s="124"/>
      <c r="H64" s="121">
        <f t="shared" si="0"/>
        <v>0</v>
      </c>
      <c r="I64" s="121"/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25.5" hidden="1">
      <c r="A65" s="142" t="s">
        <v>21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12.75" hidden="1">
      <c r="A66" s="142" t="s">
        <v>22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>
      <c r="A67" s="142" t="s">
        <v>23</v>
      </c>
      <c r="B67" s="124"/>
      <c r="C67" s="124" t="s">
        <v>47</v>
      </c>
      <c r="D67" s="124" t="s">
        <v>150</v>
      </c>
      <c r="E67" s="124" t="s">
        <v>191</v>
      </c>
      <c r="F67" s="124" t="s">
        <v>185</v>
      </c>
      <c r="G67" s="124" t="s">
        <v>195</v>
      </c>
      <c r="H67" s="121">
        <f t="shared" si="0"/>
        <v>181400</v>
      </c>
      <c r="I67" s="277">
        <v>181400</v>
      </c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25.5" hidden="1">
      <c r="A68" s="142" t="s">
        <v>24</v>
      </c>
      <c r="B68" s="124"/>
      <c r="C68" s="124" t="s">
        <v>47</v>
      </c>
      <c r="D68" s="124" t="s">
        <v>150</v>
      </c>
      <c r="E68" s="124" t="s">
        <v>191</v>
      </c>
      <c r="F68" s="124"/>
      <c r="G68" s="124"/>
      <c r="H68" s="121">
        <f t="shared" si="0"/>
        <v>0</v>
      </c>
      <c r="I68" s="121"/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12.75" hidden="1">
      <c r="A69" s="142" t="s">
        <v>25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26</v>
      </c>
      <c r="B70" s="124"/>
      <c r="C70" s="124" t="s">
        <v>47</v>
      </c>
      <c r="D70" s="124" t="s">
        <v>150</v>
      </c>
      <c r="E70" s="124" t="s">
        <v>191</v>
      </c>
      <c r="F70" s="124" t="s">
        <v>186</v>
      </c>
      <c r="G70" s="124" t="s">
        <v>242</v>
      </c>
      <c r="H70" s="121">
        <f>I70</f>
        <v>0</v>
      </c>
      <c r="I70" s="121"/>
      <c r="J70" s="121"/>
      <c r="K70" s="125"/>
      <c r="L70" s="125"/>
      <c r="M70" s="125"/>
      <c r="N70" s="125"/>
      <c r="O70" s="119"/>
    </row>
    <row r="71" spans="1:22" s="140" customFormat="1" ht="12.75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195</v>
      </c>
      <c r="H71" s="121">
        <f t="shared" si="0"/>
        <v>14000</v>
      </c>
      <c r="I71" s="277">
        <v>14000</v>
      </c>
      <c r="J71" s="121"/>
      <c r="K71" s="125" t="s">
        <v>146</v>
      </c>
      <c r="L71" s="125" t="s">
        <v>146</v>
      </c>
      <c r="M71" s="125" t="s">
        <v>146</v>
      </c>
      <c r="N71" s="125" t="s">
        <v>146</v>
      </c>
      <c r="O71" s="119" t="s">
        <v>146</v>
      </c>
      <c r="V71" s="252">
        <f>I62+I63+I67+I71+I73</f>
        <v>250900</v>
      </c>
    </row>
    <row r="72" spans="1:15" s="140" customFormat="1" ht="12.75" hidden="1">
      <c r="A72" s="142" t="s">
        <v>27</v>
      </c>
      <c r="B72" s="124"/>
      <c r="C72" s="124" t="s">
        <v>47</v>
      </c>
      <c r="D72" s="124" t="s">
        <v>150</v>
      </c>
      <c r="E72" s="124" t="s">
        <v>191</v>
      </c>
      <c r="F72" s="124"/>
      <c r="G72" s="124"/>
      <c r="H72" s="121">
        <f t="shared" si="0"/>
        <v>0</v>
      </c>
      <c r="I72" s="121"/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</row>
    <row r="73" spans="1:15" s="140" customFormat="1" ht="19.5" customHeight="1">
      <c r="A73" s="142" t="s">
        <v>28</v>
      </c>
      <c r="B73" s="124"/>
      <c r="C73" s="124" t="s">
        <v>47</v>
      </c>
      <c r="D73" s="124" t="s">
        <v>150</v>
      </c>
      <c r="E73" s="124" t="s">
        <v>191</v>
      </c>
      <c r="F73" s="124" t="s">
        <v>188</v>
      </c>
      <c r="G73" s="124" t="s">
        <v>195</v>
      </c>
      <c r="H73" s="121">
        <f t="shared" si="0"/>
        <v>5500</v>
      </c>
      <c r="I73" s="121">
        <v>5500</v>
      </c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3.5">
      <c r="A74" s="407" t="s">
        <v>196</v>
      </c>
      <c r="B74" s="408"/>
      <c r="C74" s="147" t="s">
        <v>53</v>
      </c>
      <c r="D74" s="131"/>
      <c r="E74" s="147"/>
      <c r="F74" s="131"/>
      <c r="G74" s="131"/>
      <c r="H74" s="148">
        <f>I74</f>
        <v>651400</v>
      </c>
      <c r="I74" s="148">
        <f>I80+I82+I83+I86+I87+I89</f>
        <v>651400</v>
      </c>
      <c r="J74" s="133"/>
      <c r="K74" s="149" t="s">
        <v>190</v>
      </c>
      <c r="L74" s="149"/>
      <c r="M74" s="149"/>
      <c r="N74" s="149" t="s">
        <v>190</v>
      </c>
      <c r="O74" s="135"/>
    </row>
    <row r="75" spans="1:15" s="140" customFormat="1" ht="12.75" hidden="1">
      <c r="A75" s="142" t="s">
        <v>15</v>
      </c>
      <c r="B75" s="124"/>
      <c r="C75" s="124"/>
      <c r="D75" s="124"/>
      <c r="E75" s="124"/>
      <c r="F75" s="124"/>
      <c r="G75" s="124"/>
      <c r="H75" s="121"/>
      <c r="I75" s="121"/>
      <c r="J75" s="121"/>
      <c r="K75" s="121"/>
      <c r="L75" s="121"/>
      <c r="M75" s="121"/>
      <c r="N75" s="121"/>
      <c r="O75" s="143"/>
    </row>
    <row r="76" spans="1:15" s="140" customFormat="1" ht="12.75" hidden="1">
      <c r="A76" s="142" t="s">
        <v>16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17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18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19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>
      <c r="A80" s="142" t="s">
        <v>20</v>
      </c>
      <c r="B80" s="124"/>
      <c r="C80" s="124" t="s">
        <v>53</v>
      </c>
      <c r="D80" s="124" t="s">
        <v>150</v>
      </c>
      <c r="E80" s="124" t="s">
        <v>191</v>
      </c>
      <c r="F80" s="124" t="s">
        <v>183</v>
      </c>
      <c r="G80" s="124" t="s">
        <v>195</v>
      </c>
      <c r="H80" s="121">
        <f>I80</f>
        <v>314400</v>
      </c>
      <c r="I80" s="121">
        <v>314400</v>
      </c>
      <c r="J80" s="121"/>
      <c r="K80" s="125" t="s">
        <v>146</v>
      </c>
      <c r="L80" s="125" t="s">
        <v>146</v>
      </c>
      <c r="M80" s="125" t="s">
        <v>146</v>
      </c>
      <c r="N80" s="125" t="s">
        <v>146</v>
      </c>
      <c r="O80" s="119" t="s">
        <v>146</v>
      </c>
    </row>
    <row r="81" spans="1:15" s="140" customFormat="1" ht="25.5" hidden="1">
      <c r="A81" s="142" t="s">
        <v>21</v>
      </c>
      <c r="B81" s="124"/>
      <c r="C81" s="124"/>
      <c r="D81" s="124" t="s">
        <v>150</v>
      </c>
      <c r="E81" s="124"/>
      <c r="F81" s="124"/>
      <c r="G81" s="124"/>
      <c r="H81" s="121">
        <f aca="true" t="shared" si="1" ref="H81:H104">I81</f>
        <v>0</v>
      </c>
      <c r="I81" s="121"/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12.75">
      <c r="A82" s="142" t="s">
        <v>22</v>
      </c>
      <c r="B82" s="124"/>
      <c r="C82" s="124" t="s">
        <v>53</v>
      </c>
      <c r="D82" s="124" t="s">
        <v>150</v>
      </c>
      <c r="E82" s="124" t="s">
        <v>191</v>
      </c>
      <c r="F82" s="124" t="s">
        <v>184</v>
      </c>
      <c r="G82" s="124" t="s">
        <v>195</v>
      </c>
      <c r="H82" s="121">
        <f t="shared" si="1"/>
        <v>127500</v>
      </c>
      <c r="I82" s="277">
        <v>127500</v>
      </c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23</v>
      </c>
      <c r="B83" s="124"/>
      <c r="C83" s="124" t="s">
        <v>53</v>
      </c>
      <c r="D83" s="124" t="s">
        <v>150</v>
      </c>
      <c r="E83" s="124" t="s">
        <v>191</v>
      </c>
      <c r="F83" s="124" t="s">
        <v>185</v>
      </c>
      <c r="G83" s="124" t="s">
        <v>195</v>
      </c>
      <c r="H83" s="121">
        <f t="shared" si="1"/>
        <v>174000</v>
      </c>
      <c r="I83" s="277">
        <v>174000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25.5" hidden="1">
      <c r="A84" s="142" t="s">
        <v>24</v>
      </c>
      <c r="B84" s="124"/>
      <c r="C84" s="124" t="s">
        <v>53</v>
      </c>
      <c r="D84" s="124" t="s">
        <v>150</v>
      </c>
      <c r="E84" s="124" t="s">
        <v>191</v>
      </c>
      <c r="F84" s="124"/>
      <c r="G84" s="124"/>
      <c r="H84" s="121">
        <f t="shared" si="1"/>
        <v>0</v>
      </c>
      <c r="I84" s="121"/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12.75" hidden="1">
      <c r="A85" s="142" t="s">
        <v>25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26</v>
      </c>
      <c r="B86" s="124"/>
      <c r="C86" s="124" t="s">
        <v>53</v>
      </c>
      <c r="D86" s="124" t="s">
        <v>150</v>
      </c>
      <c r="E86" s="124" t="s">
        <v>191</v>
      </c>
      <c r="F86" s="124" t="s">
        <v>186</v>
      </c>
      <c r="G86" s="124" t="s">
        <v>197</v>
      </c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195</v>
      </c>
      <c r="H87" s="121">
        <f t="shared" si="1"/>
        <v>7500</v>
      </c>
      <c r="I87" s="277">
        <v>7500</v>
      </c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 hidden="1">
      <c r="A88" s="142" t="s">
        <v>27</v>
      </c>
      <c r="B88" s="124"/>
      <c r="C88" s="124" t="s">
        <v>53</v>
      </c>
      <c r="D88" s="124" t="s">
        <v>150</v>
      </c>
      <c r="E88" s="124" t="s">
        <v>191</v>
      </c>
      <c r="F88" s="124"/>
      <c r="G88" s="124"/>
      <c r="H88" s="121">
        <f t="shared" si="1"/>
        <v>0</v>
      </c>
      <c r="I88" s="121"/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21.75" customHeight="1">
      <c r="A89" s="142" t="s">
        <v>28</v>
      </c>
      <c r="B89" s="124"/>
      <c r="C89" s="124" t="s">
        <v>53</v>
      </c>
      <c r="D89" s="124" t="s">
        <v>150</v>
      </c>
      <c r="E89" s="124" t="s">
        <v>191</v>
      </c>
      <c r="F89" s="124" t="s">
        <v>188</v>
      </c>
      <c r="G89" s="124" t="s">
        <v>195</v>
      </c>
      <c r="H89" s="121">
        <f t="shared" si="1"/>
        <v>28000</v>
      </c>
      <c r="I89" s="121">
        <v>28000</v>
      </c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13.5" hidden="1">
      <c r="A90" s="414" t="s">
        <v>198</v>
      </c>
      <c r="B90" s="414"/>
      <c r="C90" s="147" t="s">
        <v>96</v>
      </c>
      <c r="D90" s="131"/>
      <c r="E90" s="147"/>
      <c r="F90" s="131"/>
      <c r="G90" s="131"/>
      <c r="H90" s="121">
        <f t="shared" si="1"/>
        <v>0</v>
      </c>
      <c r="I90" s="150">
        <f>I91+I93</f>
        <v>0</v>
      </c>
      <c r="J90" s="133"/>
      <c r="K90" s="133"/>
      <c r="L90" s="133"/>
      <c r="M90" s="133"/>
      <c r="N90" s="133"/>
      <c r="O90" s="135"/>
    </row>
    <row r="91" spans="1:15" s="140" customFormat="1" ht="12.75" hidden="1">
      <c r="A91" s="142" t="s">
        <v>15</v>
      </c>
      <c r="B91" s="124"/>
      <c r="C91" s="124"/>
      <c r="D91" s="124"/>
      <c r="E91" s="124"/>
      <c r="F91" s="124" t="s">
        <v>171</v>
      </c>
      <c r="G91" s="124" t="s">
        <v>192</v>
      </c>
      <c r="H91" s="121">
        <f t="shared" si="1"/>
        <v>0</v>
      </c>
      <c r="I91" s="121"/>
      <c r="J91" s="121"/>
      <c r="K91" s="125" t="s">
        <v>146</v>
      </c>
      <c r="L91" s="125" t="s">
        <v>146</v>
      </c>
      <c r="M91" s="125" t="s">
        <v>146</v>
      </c>
      <c r="N91" s="125" t="s">
        <v>146</v>
      </c>
      <c r="O91" s="119" t="s">
        <v>146</v>
      </c>
    </row>
    <row r="92" spans="1:15" s="140" customFormat="1" ht="12.75" hidden="1">
      <c r="A92" s="142" t="s">
        <v>16</v>
      </c>
      <c r="B92" s="124"/>
      <c r="C92" s="124"/>
      <c r="D92" s="124"/>
      <c r="E92" s="124"/>
      <c r="F92" s="124"/>
      <c r="G92" s="124"/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17</v>
      </c>
      <c r="B93" s="124"/>
      <c r="C93" s="124"/>
      <c r="D93" s="124"/>
      <c r="E93" s="124"/>
      <c r="F93" s="124" t="s">
        <v>180</v>
      </c>
      <c r="G93" s="124" t="s">
        <v>194</v>
      </c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18</v>
      </c>
      <c r="B94" s="124"/>
      <c r="C94" s="124"/>
      <c r="D94" s="124"/>
      <c r="E94" s="124"/>
      <c r="F94" s="124"/>
      <c r="G94" s="124"/>
      <c r="H94" s="121">
        <f t="shared" si="1"/>
        <v>0</v>
      </c>
      <c r="I94" s="121"/>
      <c r="J94" s="121"/>
      <c r="K94" s="121"/>
      <c r="L94" s="121"/>
      <c r="M94" s="121"/>
      <c r="N94" s="121"/>
      <c r="O94" s="143"/>
    </row>
    <row r="95" spans="1:15" s="140" customFormat="1" ht="12.75" hidden="1">
      <c r="A95" s="142" t="s">
        <v>19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20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25.5" hidden="1">
      <c r="A97" s="142" t="s">
        <v>21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12.75" hidden="1">
      <c r="A98" s="142" t="s">
        <v>22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23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25.5" hidden="1">
      <c r="A100" s="142" t="s">
        <v>24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12.75" hidden="1">
      <c r="A101" s="142" t="s">
        <v>25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26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27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25.5" hidden="1">
      <c r="A104" s="142" t="s">
        <v>28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12.75" hidden="1">
      <c r="A105" s="179" t="s">
        <v>240</v>
      </c>
      <c r="B105" s="180"/>
      <c r="C105" s="180" t="s">
        <v>108</v>
      </c>
      <c r="D105" s="181"/>
      <c r="E105" s="131"/>
      <c r="F105" s="131"/>
      <c r="G105" s="131"/>
      <c r="H105" s="133">
        <f aca="true" t="shared" si="2" ref="H105:H110">K105</f>
        <v>0</v>
      </c>
      <c r="I105" s="133"/>
      <c r="J105" s="133"/>
      <c r="K105" s="133">
        <f>K106</f>
        <v>0</v>
      </c>
      <c r="L105" s="133"/>
      <c r="M105" s="133"/>
      <c r="N105" s="133"/>
      <c r="O105" s="143"/>
    </row>
    <row r="106" spans="1:15" s="140" customFormat="1" ht="12.75" hidden="1">
      <c r="A106" s="142" t="s">
        <v>26</v>
      </c>
      <c r="B106" s="124"/>
      <c r="C106" s="178" t="s">
        <v>108</v>
      </c>
      <c r="D106" s="124" t="s">
        <v>150</v>
      </c>
      <c r="E106" s="124" t="s">
        <v>191</v>
      </c>
      <c r="F106" s="124" t="s">
        <v>186</v>
      </c>
      <c r="G106" s="124" t="s">
        <v>195</v>
      </c>
      <c r="H106" s="121">
        <f t="shared" si="2"/>
        <v>0</v>
      </c>
      <c r="I106" s="121"/>
      <c r="J106" s="121"/>
      <c r="K106" s="121"/>
      <c r="L106" s="121"/>
      <c r="M106" s="121"/>
      <c r="N106" s="121"/>
      <c r="O106" s="143"/>
    </row>
    <row r="107" spans="1:15" s="140" customFormat="1" ht="12.75" hidden="1">
      <c r="A107" s="315" t="s">
        <v>110</v>
      </c>
      <c r="B107" s="316"/>
      <c r="C107" s="316"/>
      <c r="D107" s="413"/>
      <c r="E107" s="131"/>
      <c r="F107" s="131"/>
      <c r="G107" s="131"/>
      <c r="H107" s="133">
        <f t="shared" si="2"/>
        <v>0</v>
      </c>
      <c r="I107" s="133"/>
      <c r="J107" s="133"/>
      <c r="K107" s="133">
        <f>K109+K110+K108</f>
        <v>0</v>
      </c>
      <c r="L107" s="133"/>
      <c r="M107" s="133"/>
      <c r="N107" s="133"/>
      <c r="O107" s="143"/>
    </row>
    <row r="108" spans="1:15" s="140" customFormat="1" ht="12.75" hidden="1">
      <c r="A108" s="142" t="s">
        <v>22</v>
      </c>
      <c r="B108" s="182"/>
      <c r="C108" s="124" t="s">
        <v>78</v>
      </c>
      <c r="D108" s="124" t="s">
        <v>150</v>
      </c>
      <c r="E108" s="124" t="s">
        <v>236</v>
      </c>
      <c r="F108" s="124" t="s">
        <v>184</v>
      </c>
      <c r="G108" s="124" t="s">
        <v>195</v>
      </c>
      <c r="H108" s="121">
        <f t="shared" si="2"/>
        <v>0</v>
      </c>
      <c r="I108" s="121"/>
      <c r="J108" s="121"/>
      <c r="K108" s="121"/>
      <c r="L108" s="121"/>
      <c r="M108" s="121"/>
      <c r="N108" s="121"/>
      <c r="O108" s="143"/>
    </row>
    <row r="109" spans="1:15" s="140" customFormat="1" ht="12.75" hidden="1">
      <c r="A109" s="142" t="s">
        <v>23</v>
      </c>
      <c r="B109" s="169"/>
      <c r="C109" s="124" t="s">
        <v>78</v>
      </c>
      <c r="D109" s="124" t="s">
        <v>150</v>
      </c>
      <c r="E109" s="124" t="s">
        <v>236</v>
      </c>
      <c r="F109" s="124" t="s">
        <v>185</v>
      </c>
      <c r="G109" s="124" t="s">
        <v>195</v>
      </c>
      <c r="H109" s="121">
        <f t="shared" si="2"/>
        <v>0</v>
      </c>
      <c r="I109" s="121"/>
      <c r="J109" s="121"/>
      <c r="K109" s="121"/>
      <c r="L109" s="121"/>
      <c r="M109" s="121"/>
      <c r="N109" s="121"/>
      <c r="O109" s="143"/>
    </row>
    <row r="110" spans="1:15" s="140" customFormat="1" ht="25.5" hidden="1">
      <c r="A110" s="142" t="s">
        <v>28</v>
      </c>
      <c r="B110" s="169"/>
      <c r="C110" s="124" t="s">
        <v>78</v>
      </c>
      <c r="D110" s="124" t="s">
        <v>150</v>
      </c>
      <c r="E110" s="124" t="s">
        <v>236</v>
      </c>
      <c r="F110" s="124" t="s">
        <v>188</v>
      </c>
      <c r="G110" s="124" t="s">
        <v>195</v>
      </c>
      <c r="H110" s="121">
        <f t="shared" si="2"/>
        <v>0</v>
      </c>
      <c r="I110" s="121"/>
      <c r="J110" s="121"/>
      <c r="K110" s="121"/>
      <c r="L110" s="121"/>
      <c r="M110" s="121"/>
      <c r="N110" s="121"/>
      <c r="O110" s="143"/>
    </row>
    <row r="111" spans="1:15" s="140" customFormat="1" ht="13.5">
      <c r="A111" s="411" t="s">
        <v>199</v>
      </c>
      <c r="B111" s="412"/>
      <c r="C111" s="147" t="s">
        <v>76</v>
      </c>
      <c r="D111" s="131"/>
      <c r="E111" s="147"/>
      <c r="F111" s="131"/>
      <c r="G111" s="131"/>
      <c r="H111" s="148">
        <f>N111</f>
        <v>1295286.17</v>
      </c>
      <c r="I111" s="149" t="s">
        <v>190</v>
      </c>
      <c r="J111" s="149"/>
      <c r="K111" s="149" t="s">
        <v>190</v>
      </c>
      <c r="L111" s="149" t="s">
        <v>190</v>
      </c>
      <c r="M111" s="148"/>
      <c r="N111" s="148">
        <f>N116+N120+N122+N125+N126+N129+N113+N115+N112+N114+N124+N118+N127+N121+N128</f>
        <v>1295286.17</v>
      </c>
      <c r="O111" s="135"/>
    </row>
    <row r="112" spans="1:15" s="140" customFormat="1" ht="12.75">
      <c r="A112" s="142" t="s">
        <v>15</v>
      </c>
      <c r="B112" s="124"/>
      <c r="C112" s="124" t="s">
        <v>76</v>
      </c>
      <c r="D112" s="124" t="s">
        <v>150</v>
      </c>
      <c r="E112" s="124" t="s">
        <v>191</v>
      </c>
      <c r="F112" s="124" t="s">
        <v>171</v>
      </c>
      <c r="G112" s="124" t="s">
        <v>192</v>
      </c>
      <c r="H112" s="121">
        <f aca="true" t="shared" si="3" ref="H112:H129">N112</f>
        <v>815000</v>
      </c>
      <c r="I112" s="125" t="s">
        <v>146</v>
      </c>
      <c r="J112" s="125" t="s">
        <v>146</v>
      </c>
      <c r="K112" s="125" t="s">
        <v>146</v>
      </c>
      <c r="L112" s="121"/>
      <c r="M112" s="121"/>
      <c r="N112" s="121">
        <v>815000</v>
      </c>
      <c r="O112" s="143"/>
    </row>
    <row r="113" spans="1:15" s="140" customFormat="1" ht="12.75">
      <c r="A113" s="142" t="s">
        <v>16</v>
      </c>
      <c r="B113" s="124"/>
      <c r="C113" s="124" t="s">
        <v>76</v>
      </c>
      <c r="D113" s="124" t="s">
        <v>150</v>
      </c>
      <c r="E113" s="124" t="s">
        <v>191</v>
      </c>
      <c r="F113" s="124" t="s">
        <v>179</v>
      </c>
      <c r="G113" s="124" t="s">
        <v>193</v>
      </c>
      <c r="H113" s="121">
        <f t="shared" si="3"/>
        <v>10000</v>
      </c>
      <c r="I113" s="125" t="s">
        <v>146</v>
      </c>
      <c r="J113" s="125" t="s">
        <v>146</v>
      </c>
      <c r="K113" s="125" t="s">
        <v>146</v>
      </c>
      <c r="L113" s="121"/>
      <c r="M113" s="121"/>
      <c r="N113" s="277">
        <v>10000</v>
      </c>
      <c r="O113" s="143"/>
    </row>
    <row r="114" spans="1:15" s="140" customFormat="1" ht="12.75">
      <c r="A114" s="142" t="s">
        <v>231</v>
      </c>
      <c r="B114" s="124"/>
      <c r="C114" s="124" t="s">
        <v>76</v>
      </c>
      <c r="D114" s="124" t="s">
        <v>150</v>
      </c>
      <c r="E114" s="124" t="s">
        <v>191</v>
      </c>
      <c r="F114" s="124" t="s">
        <v>180</v>
      </c>
      <c r="G114" s="124" t="s">
        <v>194</v>
      </c>
      <c r="H114" s="121">
        <f t="shared" si="3"/>
        <v>250000</v>
      </c>
      <c r="I114" s="125" t="s">
        <v>146</v>
      </c>
      <c r="J114" s="125" t="s">
        <v>146</v>
      </c>
      <c r="K114" s="125" t="s">
        <v>146</v>
      </c>
      <c r="L114" s="121"/>
      <c r="M114" s="121"/>
      <c r="N114" s="121">
        <v>250000</v>
      </c>
      <c r="O114" s="143"/>
    </row>
    <row r="115" spans="1:15" s="140" customFormat="1" ht="12.75">
      <c r="A115" s="142" t="s">
        <v>228</v>
      </c>
      <c r="B115" s="124"/>
      <c r="C115" s="124" t="s">
        <v>76</v>
      </c>
      <c r="D115" s="124" t="s">
        <v>150</v>
      </c>
      <c r="E115" s="124" t="s">
        <v>191</v>
      </c>
      <c r="F115" s="124" t="s">
        <v>181</v>
      </c>
      <c r="G115" s="124" t="s">
        <v>195</v>
      </c>
      <c r="H115" s="121">
        <f t="shared" si="3"/>
        <v>4000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277">
        <v>4000</v>
      </c>
      <c r="O115" s="143"/>
    </row>
    <row r="116" spans="1:15" s="140" customFormat="1" ht="12.75">
      <c r="A116" s="142" t="s">
        <v>19</v>
      </c>
      <c r="B116" s="124"/>
      <c r="C116" s="124" t="s">
        <v>76</v>
      </c>
      <c r="D116" s="124" t="s">
        <v>150</v>
      </c>
      <c r="E116" s="124" t="s">
        <v>191</v>
      </c>
      <c r="F116" s="124" t="s">
        <v>182</v>
      </c>
      <c r="G116" s="124" t="s">
        <v>195</v>
      </c>
      <c r="H116" s="121">
        <f t="shared" si="3"/>
        <v>5000</v>
      </c>
      <c r="I116" s="125" t="s">
        <v>146</v>
      </c>
      <c r="J116" s="125" t="s">
        <v>146</v>
      </c>
      <c r="K116" s="125" t="s">
        <v>146</v>
      </c>
      <c r="L116" s="125" t="s">
        <v>146</v>
      </c>
      <c r="M116" s="125" t="s">
        <v>146</v>
      </c>
      <c r="N116" s="277">
        <v>5000</v>
      </c>
      <c r="O116" s="119" t="s">
        <v>146</v>
      </c>
    </row>
    <row r="117" spans="1:15" s="140" customFormat="1" ht="12.75" hidden="1">
      <c r="A117" s="142" t="s">
        <v>19</v>
      </c>
      <c r="B117" s="124"/>
      <c r="C117" s="124" t="s">
        <v>76</v>
      </c>
      <c r="D117" s="124" t="s">
        <v>150</v>
      </c>
      <c r="E117" s="124" t="s">
        <v>191</v>
      </c>
      <c r="F117" s="124"/>
      <c r="G117" s="124" t="s">
        <v>200</v>
      </c>
      <c r="H117" s="121">
        <f t="shared" si="3"/>
        <v>0</v>
      </c>
      <c r="I117" s="125" t="s">
        <v>146</v>
      </c>
      <c r="J117" s="125" t="s">
        <v>146</v>
      </c>
      <c r="K117" s="125" t="s">
        <v>146</v>
      </c>
      <c r="L117" s="125" t="s">
        <v>146</v>
      </c>
      <c r="M117" s="125" t="s">
        <v>146</v>
      </c>
      <c r="N117" s="121"/>
      <c r="O117" s="119" t="s">
        <v>146</v>
      </c>
    </row>
    <row r="118" spans="1:15" s="140" customFormat="1" ht="12.75">
      <c r="A118" s="142" t="s">
        <v>20</v>
      </c>
      <c r="B118" s="124"/>
      <c r="C118" s="124" t="s">
        <v>76</v>
      </c>
      <c r="D118" s="124" t="s">
        <v>150</v>
      </c>
      <c r="E118" s="124" t="s">
        <v>191</v>
      </c>
      <c r="F118" s="124" t="s">
        <v>183</v>
      </c>
      <c r="G118" s="124" t="s">
        <v>195</v>
      </c>
      <c r="H118" s="121">
        <f t="shared" si="3"/>
        <v>10000</v>
      </c>
      <c r="I118" s="125" t="s">
        <v>146</v>
      </c>
      <c r="J118" s="125" t="s">
        <v>146</v>
      </c>
      <c r="K118" s="125" t="s">
        <v>146</v>
      </c>
      <c r="L118" s="125" t="s">
        <v>146</v>
      </c>
      <c r="M118" s="125" t="s">
        <v>146</v>
      </c>
      <c r="N118" s="121">
        <v>10000</v>
      </c>
      <c r="O118" s="119" t="s">
        <v>146</v>
      </c>
    </row>
    <row r="119" spans="1:15" s="140" customFormat="1" ht="25.5" hidden="1">
      <c r="A119" s="142" t="s">
        <v>21</v>
      </c>
      <c r="B119" s="124"/>
      <c r="C119" s="124" t="s">
        <v>76</v>
      </c>
      <c r="D119" s="124" t="s">
        <v>150</v>
      </c>
      <c r="E119" s="124" t="s">
        <v>191</v>
      </c>
      <c r="F119" s="124"/>
      <c r="G119" s="124" t="s">
        <v>201</v>
      </c>
      <c r="H119" s="121">
        <f t="shared" si="3"/>
        <v>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/>
      <c r="O119" s="119" t="s">
        <v>146</v>
      </c>
    </row>
    <row r="120" spans="1:15" s="140" customFormat="1" ht="14.25" customHeight="1">
      <c r="A120" s="142" t="s">
        <v>22</v>
      </c>
      <c r="B120" s="124"/>
      <c r="C120" s="124" t="s">
        <v>76</v>
      </c>
      <c r="D120" s="124" t="s">
        <v>150</v>
      </c>
      <c r="E120" s="124" t="s">
        <v>191</v>
      </c>
      <c r="F120" s="124" t="s">
        <v>184</v>
      </c>
      <c r="G120" s="124" t="s">
        <v>195</v>
      </c>
      <c r="H120" s="121">
        <f t="shared" si="3"/>
        <v>30000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277">
        <v>30000</v>
      </c>
      <c r="O120" s="119" t="s">
        <v>146</v>
      </c>
    </row>
    <row r="121" spans="1:15" s="140" customFormat="1" ht="14.25" customHeight="1" hidden="1">
      <c r="A121" s="142" t="s">
        <v>23</v>
      </c>
      <c r="B121" s="124"/>
      <c r="C121" s="124" t="s">
        <v>76</v>
      </c>
      <c r="D121" s="124" t="s">
        <v>150</v>
      </c>
      <c r="E121" s="124" t="s">
        <v>236</v>
      </c>
      <c r="F121" s="124" t="s">
        <v>185</v>
      </c>
      <c r="G121" s="124" t="s">
        <v>195</v>
      </c>
      <c r="H121" s="121">
        <f t="shared" si="3"/>
        <v>0</v>
      </c>
      <c r="I121" s="125"/>
      <c r="J121" s="125"/>
      <c r="K121" s="125"/>
      <c r="L121" s="125"/>
      <c r="M121" s="125"/>
      <c r="N121" s="121"/>
      <c r="O121" s="119"/>
    </row>
    <row r="122" spans="1:15" s="140" customFormat="1" ht="12.75">
      <c r="A122" s="142" t="s">
        <v>23</v>
      </c>
      <c r="B122" s="124"/>
      <c r="C122" s="124" t="s">
        <v>76</v>
      </c>
      <c r="D122" s="124" t="s">
        <v>150</v>
      </c>
      <c r="E122" s="124" t="s">
        <v>191</v>
      </c>
      <c r="F122" s="124" t="s">
        <v>185</v>
      </c>
      <c r="G122" s="124" t="s">
        <v>195</v>
      </c>
      <c r="H122" s="121">
        <f t="shared" si="3"/>
        <v>133786.16999999998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277">
        <f>115000+18786.17</f>
        <v>133786.16999999998</v>
      </c>
      <c r="O122" s="119" t="s">
        <v>146</v>
      </c>
    </row>
    <row r="123" spans="1:15" s="140" customFormat="1" ht="25.5" hidden="1">
      <c r="A123" s="142" t="s">
        <v>24</v>
      </c>
      <c r="B123" s="124"/>
      <c r="C123" s="124" t="s">
        <v>76</v>
      </c>
      <c r="D123" s="124" t="s">
        <v>150</v>
      </c>
      <c r="E123" s="124" t="s">
        <v>191</v>
      </c>
      <c r="F123" s="124"/>
      <c r="G123" s="124" t="s">
        <v>202</v>
      </c>
      <c r="H123" s="121">
        <f t="shared" si="3"/>
        <v>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/>
      <c r="O123" s="119" t="s">
        <v>146</v>
      </c>
    </row>
    <row r="124" spans="1:15" s="140" customFormat="1" ht="12.75">
      <c r="A124" s="142" t="s">
        <v>26</v>
      </c>
      <c r="B124" s="124"/>
      <c r="C124" s="124" t="s">
        <v>76</v>
      </c>
      <c r="D124" s="124" t="s">
        <v>150</v>
      </c>
      <c r="E124" s="124" t="s">
        <v>191</v>
      </c>
      <c r="F124" s="124" t="s">
        <v>186</v>
      </c>
      <c r="G124" s="124" t="s">
        <v>195</v>
      </c>
      <c r="H124" s="121">
        <f t="shared" si="3"/>
        <v>2000</v>
      </c>
      <c r="I124" s="125" t="s">
        <v>146</v>
      </c>
      <c r="J124" s="125" t="s">
        <v>146</v>
      </c>
      <c r="K124" s="125" t="s">
        <v>146</v>
      </c>
      <c r="L124" s="125" t="s">
        <v>146</v>
      </c>
      <c r="M124" s="125" t="s">
        <v>146</v>
      </c>
      <c r="N124" s="277">
        <v>2000</v>
      </c>
      <c r="O124" s="119" t="s">
        <v>146</v>
      </c>
    </row>
    <row r="125" spans="1:15" s="140" customFormat="1" ht="12.75" hidden="1">
      <c r="A125" s="142" t="s">
        <v>26</v>
      </c>
      <c r="B125" s="124"/>
      <c r="C125" s="124" t="s">
        <v>76</v>
      </c>
      <c r="D125" s="124" t="s">
        <v>150</v>
      </c>
      <c r="E125" s="124" t="s">
        <v>191</v>
      </c>
      <c r="F125" s="124" t="s">
        <v>186</v>
      </c>
      <c r="G125" s="124" t="s">
        <v>195</v>
      </c>
      <c r="H125" s="121">
        <f t="shared" si="3"/>
        <v>0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/>
      <c r="O125" s="119" t="s">
        <v>146</v>
      </c>
    </row>
    <row r="126" spans="1:15" s="140" customFormat="1" ht="12.75">
      <c r="A126" s="142" t="s">
        <v>27</v>
      </c>
      <c r="B126" s="124"/>
      <c r="C126" s="124" t="s">
        <v>76</v>
      </c>
      <c r="D126" s="124" t="s">
        <v>150</v>
      </c>
      <c r="E126" s="124" t="s">
        <v>191</v>
      </c>
      <c r="F126" s="124" t="s">
        <v>187</v>
      </c>
      <c r="G126" s="124" t="s">
        <v>195</v>
      </c>
      <c r="H126" s="121">
        <f t="shared" si="3"/>
        <v>18500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277">
        <v>18500</v>
      </c>
      <c r="O126" s="119" t="s">
        <v>146</v>
      </c>
    </row>
    <row r="127" spans="1:15" s="140" customFormat="1" ht="12.75" hidden="1">
      <c r="A127" s="142" t="s">
        <v>26</v>
      </c>
      <c r="B127" s="124"/>
      <c r="C127" s="124" t="s">
        <v>76</v>
      </c>
      <c r="D127" s="124" t="s">
        <v>150</v>
      </c>
      <c r="E127" s="124" t="s">
        <v>236</v>
      </c>
      <c r="F127" s="124" t="s">
        <v>186</v>
      </c>
      <c r="G127" s="124" t="s">
        <v>195</v>
      </c>
      <c r="H127" s="121">
        <f t="shared" si="3"/>
        <v>0</v>
      </c>
      <c r="I127" s="125"/>
      <c r="J127" s="125"/>
      <c r="K127" s="125"/>
      <c r="L127" s="125"/>
      <c r="M127" s="125"/>
      <c r="N127" s="121"/>
      <c r="O127" s="119"/>
    </row>
    <row r="128" spans="1:15" s="140" customFormat="1" ht="25.5" hidden="1">
      <c r="A128" s="142" t="s">
        <v>28</v>
      </c>
      <c r="B128" s="124"/>
      <c r="C128" s="124" t="s">
        <v>76</v>
      </c>
      <c r="D128" s="124" t="s">
        <v>150</v>
      </c>
      <c r="E128" s="124" t="s">
        <v>236</v>
      </c>
      <c r="F128" s="124" t="s">
        <v>188</v>
      </c>
      <c r="G128" s="124" t="s">
        <v>195</v>
      </c>
      <c r="H128" s="121">
        <f t="shared" si="3"/>
        <v>0</v>
      </c>
      <c r="I128" s="125"/>
      <c r="J128" s="125"/>
      <c r="K128" s="125"/>
      <c r="L128" s="125"/>
      <c r="M128" s="125"/>
      <c r="N128" s="121"/>
      <c r="O128" s="119"/>
    </row>
    <row r="129" spans="1:15" s="140" customFormat="1" ht="25.5">
      <c r="A129" s="142" t="s">
        <v>28</v>
      </c>
      <c r="B129" s="124"/>
      <c r="C129" s="124" t="s">
        <v>76</v>
      </c>
      <c r="D129" s="124" t="s">
        <v>150</v>
      </c>
      <c r="E129" s="124" t="s">
        <v>191</v>
      </c>
      <c r="F129" s="124" t="s">
        <v>188</v>
      </c>
      <c r="G129" s="124" t="s">
        <v>195</v>
      </c>
      <c r="H129" s="121">
        <f t="shared" si="3"/>
        <v>17000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v>17000</v>
      </c>
      <c r="O129" s="119" t="s">
        <v>146</v>
      </c>
    </row>
    <row r="130" spans="1:15" s="140" customFormat="1" ht="12.75" hidden="1">
      <c r="A130" s="146"/>
      <c r="B130" s="124"/>
      <c r="C130" s="124"/>
      <c r="D130" s="124"/>
      <c r="E130" s="124"/>
      <c r="F130" s="124"/>
      <c r="G130" s="124"/>
      <c r="H130" s="121"/>
      <c r="I130" s="121"/>
      <c r="J130" s="121"/>
      <c r="K130" s="121"/>
      <c r="L130" s="121"/>
      <c r="M130" s="121"/>
      <c r="N130" s="121"/>
      <c r="O130" s="143"/>
    </row>
    <row r="131" spans="1:15" s="140" customFormat="1" ht="12.75" hidden="1">
      <c r="A131" s="146"/>
      <c r="B131" s="124"/>
      <c r="C131" s="124"/>
      <c r="D131" s="124"/>
      <c r="E131" s="124"/>
      <c r="F131" s="124"/>
      <c r="G131" s="124"/>
      <c r="H131" s="121"/>
      <c r="I131" s="121"/>
      <c r="J131" s="121"/>
      <c r="K131" s="121"/>
      <c r="L131" s="121"/>
      <c r="M131" s="121"/>
      <c r="N131" s="121"/>
      <c r="O131" s="143"/>
    </row>
    <row r="132" spans="1:15" s="140" customFormat="1" ht="27">
      <c r="A132" s="151" t="s">
        <v>203</v>
      </c>
      <c r="B132" s="152" t="s">
        <v>202</v>
      </c>
      <c r="C132" s="153" t="s">
        <v>146</v>
      </c>
      <c r="D132" s="153" t="s">
        <v>146</v>
      </c>
      <c r="E132" s="153" t="s">
        <v>146</v>
      </c>
      <c r="F132" s="153" t="s">
        <v>146</v>
      </c>
      <c r="G132" s="153" t="s">
        <v>146</v>
      </c>
      <c r="H132" s="154">
        <f>I132+N132+K132</f>
        <v>16682000</v>
      </c>
      <c r="I132" s="154">
        <f>I57+I58+I59+I60+I61</f>
        <v>15607000</v>
      </c>
      <c r="J132" s="154"/>
      <c r="K132" s="154">
        <v>0</v>
      </c>
      <c r="L132" s="155" t="s">
        <v>146</v>
      </c>
      <c r="M132" s="155" t="s">
        <v>146</v>
      </c>
      <c r="N132" s="154">
        <f>N112+N113+N114</f>
        <v>1075000</v>
      </c>
      <c r="O132" s="119" t="s">
        <v>146</v>
      </c>
    </row>
    <row r="133" spans="1:15" s="140" customFormat="1" ht="24.75">
      <c r="A133" s="156" t="s">
        <v>204</v>
      </c>
      <c r="B133" s="157" t="s">
        <v>205</v>
      </c>
      <c r="C133" s="153" t="s">
        <v>146</v>
      </c>
      <c r="D133" s="153" t="s">
        <v>146</v>
      </c>
      <c r="E133" s="153" t="s">
        <v>146</v>
      </c>
      <c r="F133" s="153" t="s">
        <v>146</v>
      </c>
      <c r="G133" s="153" t="s">
        <v>146</v>
      </c>
      <c r="H133" s="158">
        <f>H135+H134</f>
        <v>1122586.17</v>
      </c>
      <c r="I133" s="158">
        <f>I135+I134</f>
        <v>902300</v>
      </c>
      <c r="J133" s="158">
        <f>J135+J134</f>
        <v>0</v>
      </c>
      <c r="K133" s="158">
        <f>K135+K134</f>
        <v>0</v>
      </c>
      <c r="L133" s="159"/>
      <c r="M133" s="159"/>
      <c r="N133" s="158">
        <f>N135+N134</f>
        <v>220286.16999999998</v>
      </c>
      <c r="O133" s="119"/>
    </row>
    <row r="134" spans="1:15" s="140" customFormat="1" ht="36">
      <c r="A134" s="156" t="s">
        <v>206</v>
      </c>
      <c r="B134" s="152" t="s">
        <v>207</v>
      </c>
      <c r="C134" s="153" t="s">
        <v>146</v>
      </c>
      <c r="D134" s="153" t="s">
        <v>146</v>
      </c>
      <c r="E134" s="153" t="s">
        <v>146</v>
      </c>
      <c r="F134" s="153" t="s">
        <v>146</v>
      </c>
      <c r="G134" s="153" t="s">
        <v>146</v>
      </c>
      <c r="H134" s="154">
        <v>0</v>
      </c>
      <c r="I134" s="154">
        <v>0</v>
      </c>
      <c r="J134" s="154"/>
      <c r="K134" s="154">
        <v>0</v>
      </c>
      <c r="L134" s="155"/>
      <c r="M134" s="155"/>
      <c r="N134" s="154">
        <v>0</v>
      </c>
      <c r="O134" s="119"/>
    </row>
    <row r="135" spans="1:15" s="140" customFormat="1" ht="12.75" customHeight="1">
      <c r="A135" s="156" t="s">
        <v>208</v>
      </c>
      <c r="B135" s="152" t="s">
        <v>209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1122586.17</v>
      </c>
      <c r="I135" s="154">
        <f>I62+I63+I67+I71+I80+I82+I83+I87+I89+I73</f>
        <v>902300</v>
      </c>
      <c r="J135" s="154"/>
      <c r="K135" s="154"/>
      <c r="L135" s="155" t="s">
        <v>146</v>
      </c>
      <c r="M135" s="155" t="s">
        <v>146</v>
      </c>
      <c r="N135" s="154">
        <f>N115+N116+N118+N120+N122+N124+N126+N129</f>
        <v>220286.16999999998</v>
      </c>
      <c r="O135" s="119" t="s">
        <v>146</v>
      </c>
    </row>
    <row r="136" spans="1:15" s="140" customFormat="1" ht="12.75" hidden="1">
      <c r="A136" s="123" t="s">
        <v>210</v>
      </c>
      <c r="B136" s="124" t="s">
        <v>211</v>
      </c>
      <c r="C136" s="124" t="s">
        <v>146</v>
      </c>
      <c r="D136" s="124" t="s">
        <v>146</v>
      </c>
      <c r="E136" s="124" t="s">
        <v>146</v>
      </c>
      <c r="F136" s="124" t="s">
        <v>146</v>
      </c>
      <c r="G136" s="124" t="s">
        <v>146</v>
      </c>
      <c r="H136" s="121">
        <f>I136+N136</f>
        <v>0</v>
      </c>
      <c r="I136" s="121">
        <v>0</v>
      </c>
      <c r="J136" s="121"/>
      <c r="K136" s="121"/>
      <c r="L136" s="119" t="s">
        <v>146</v>
      </c>
      <c r="M136" s="119" t="s">
        <v>146</v>
      </c>
      <c r="N136" s="143">
        <v>0</v>
      </c>
      <c r="O136" s="119" t="s">
        <v>146</v>
      </c>
    </row>
    <row r="137" spans="1:15" s="140" customFormat="1" ht="12.75" hidden="1">
      <c r="A137" s="146" t="s">
        <v>212</v>
      </c>
      <c r="B137" s="124" t="s">
        <v>187</v>
      </c>
      <c r="C137" s="124" t="s">
        <v>146</v>
      </c>
      <c r="D137" s="124" t="s">
        <v>146</v>
      </c>
      <c r="E137" s="124" t="s">
        <v>146</v>
      </c>
      <c r="F137" s="124" t="s">
        <v>146</v>
      </c>
      <c r="G137" s="124" t="s">
        <v>146</v>
      </c>
      <c r="H137" s="121">
        <v>0</v>
      </c>
      <c r="I137" s="121">
        <v>0</v>
      </c>
      <c r="J137" s="121"/>
      <c r="K137" s="121"/>
      <c r="L137" s="119" t="s">
        <v>146</v>
      </c>
      <c r="M137" s="119" t="s">
        <v>146</v>
      </c>
      <c r="N137" s="143">
        <v>0</v>
      </c>
      <c r="O137" s="119" t="s">
        <v>146</v>
      </c>
    </row>
    <row r="138" spans="1:15" s="140" customFormat="1" ht="12.75" hidden="1">
      <c r="A138" s="146" t="s">
        <v>213</v>
      </c>
      <c r="B138" s="124" t="s">
        <v>214</v>
      </c>
      <c r="C138" s="124" t="s">
        <v>146</v>
      </c>
      <c r="D138" s="124" t="s">
        <v>146</v>
      </c>
      <c r="E138" s="124" t="s">
        <v>146</v>
      </c>
      <c r="F138" s="124" t="s">
        <v>146</v>
      </c>
      <c r="G138" s="124" t="s">
        <v>146</v>
      </c>
      <c r="H138" s="121">
        <v>0</v>
      </c>
      <c r="I138" s="121">
        <v>0</v>
      </c>
      <c r="J138" s="121"/>
      <c r="K138" s="121"/>
      <c r="L138" s="119" t="s">
        <v>146</v>
      </c>
      <c r="M138" s="119" t="s">
        <v>146</v>
      </c>
      <c r="N138" s="143">
        <v>0</v>
      </c>
      <c r="O138" s="119" t="s">
        <v>146</v>
      </c>
    </row>
    <row r="139" spans="1:15" s="140" customFormat="1" ht="12.75" hidden="1">
      <c r="A139" s="146" t="s">
        <v>215</v>
      </c>
      <c r="B139" s="124" t="s">
        <v>216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217</v>
      </c>
      <c r="B140" s="124" t="s">
        <v>218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219</v>
      </c>
      <c r="B141" s="124" t="s">
        <v>220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>
      <c r="A142" s="160" t="s">
        <v>221</v>
      </c>
      <c r="B142" s="161" t="s">
        <v>222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62">
        <f>I142+K142+N142</f>
        <v>18786.17</v>
      </c>
      <c r="I142" s="162">
        <v>0</v>
      </c>
      <c r="J142" s="162"/>
      <c r="K142" s="162"/>
      <c r="L142" s="163" t="s">
        <v>146</v>
      </c>
      <c r="M142" s="163" t="s">
        <v>146</v>
      </c>
      <c r="N142" s="253">
        <v>18786.17</v>
      </c>
      <c r="O142" s="119" t="s">
        <v>146</v>
      </c>
    </row>
    <row r="143" spans="1:15" s="140" customFormat="1" ht="12.75">
      <c r="A143" s="146" t="s">
        <v>223</v>
      </c>
      <c r="B143" s="124" t="s">
        <v>224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="103" customFormat="1" ht="12.75"/>
    <row r="145" s="103" customFormat="1" ht="13.5">
      <c r="A145" s="164" t="s">
        <v>225</v>
      </c>
    </row>
    <row r="146" s="103" customFormat="1" ht="13.5" hidden="1">
      <c r="A146" s="164"/>
    </row>
    <row r="147" s="103" customFormat="1" ht="19.5" customHeight="1">
      <c r="A147" s="164" t="s">
        <v>45</v>
      </c>
    </row>
    <row r="148" s="103" customFormat="1" ht="13.5">
      <c r="A148" s="164" t="s">
        <v>46</v>
      </c>
    </row>
    <row r="149" s="103" customFormat="1" ht="13.5" hidden="1">
      <c r="A149" s="164"/>
    </row>
    <row r="150" s="103" customFormat="1" ht="13.5" hidden="1">
      <c r="A150" s="164"/>
    </row>
    <row r="151" s="103" customFormat="1" ht="23.25" customHeight="1" hidden="1">
      <c r="A151" s="164" t="s">
        <v>226</v>
      </c>
    </row>
    <row r="152" s="103" customFormat="1" ht="13.5">
      <c r="A152" s="164"/>
    </row>
    <row r="153" s="103" customFormat="1" ht="15.75">
      <c r="A153" s="165"/>
    </row>
    <row r="154" s="103" customFormat="1" ht="15.75">
      <c r="A154" s="165"/>
    </row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</sheetData>
  <sheetProtection/>
  <mergeCells count="40">
    <mergeCell ref="A111:B111"/>
    <mergeCell ref="C60:C61"/>
    <mergeCell ref="E60:E61"/>
    <mergeCell ref="F60:F61"/>
    <mergeCell ref="A107:D107"/>
    <mergeCell ref="A90:B90"/>
    <mergeCell ref="G57:G58"/>
    <mergeCell ref="G60:G61"/>
    <mergeCell ref="A74:B74"/>
    <mergeCell ref="A60:A61"/>
    <mergeCell ref="B60:B61"/>
    <mergeCell ref="A56:B56"/>
    <mergeCell ref="A57:A58"/>
    <mergeCell ref="F57:F58"/>
    <mergeCell ref="C57:C58"/>
    <mergeCell ref="E57:E58"/>
    <mergeCell ref="B57:B58"/>
    <mergeCell ref="B15:B19"/>
    <mergeCell ref="C16:C19"/>
    <mergeCell ref="B20:B23"/>
    <mergeCell ref="A21:A22"/>
    <mergeCell ref="C21:C22"/>
    <mergeCell ref="J20:J21"/>
    <mergeCell ref="E21:E22"/>
    <mergeCell ref="F21:F22"/>
    <mergeCell ref="H6:O6"/>
    <mergeCell ref="H7:H8"/>
    <mergeCell ref="I7:O7"/>
    <mergeCell ref="N8:O8"/>
    <mergeCell ref="G21:G22"/>
    <mergeCell ref="G6:G8"/>
    <mergeCell ref="A3:O3"/>
    <mergeCell ref="B4:M4"/>
    <mergeCell ref="N4:O4"/>
    <mergeCell ref="A6:A8"/>
    <mergeCell ref="B6:B8"/>
    <mergeCell ref="C6:C8"/>
    <mergeCell ref="D6:D8"/>
    <mergeCell ref="E6:E8"/>
    <mergeCell ref="F6:F8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26">
      <selection activeCell="C106" sqref="C106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316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17960800</v>
      </c>
      <c r="I14" s="115">
        <f>I20</f>
        <v>16509300</v>
      </c>
      <c r="J14" s="115"/>
      <c r="K14" s="115">
        <f>K26</f>
        <v>170000</v>
      </c>
      <c r="L14" s="116" t="s">
        <v>146</v>
      </c>
      <c r="M14" s="116" t="s">
        <v>146</v>
      </c>
      <c r="N14" s="115">
        <f>N15</f>
        <v>1281500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1281500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1281500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120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151</v>
      </c>
      <c r="G17" s="124"/>
      <c r="H17" s="121">
        <f>N17</f>
        <v>1276500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v>1276500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151</v>
      </c>
      <c r="G18" s="124"/>
      <c r="H18" s="121">
        <f>N18</f>
        <v>0</v>
      </c>
      <c r="I18" s="122" t="s">
        <v>146</v>
      </c>
      <c r="J18" s="122"/>
      <c r="K18" s="122" t="s">
        <v>146</v>
      </c>
      <c r="L18" s="122"/>
      <c r="M18" s="122"/>
      <c r="N18" s="121"/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v>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130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130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170000</v>
      </c>
      <c r="I26" s="173" t="s">
        <v>146</v>
      </c>
      <c r="J26" s="172"/>
      <c r="K26" s="173">
        <f>K32+K31+K30</f>
        <v>170000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274" t="s">
        <v>317</v>
      </c>
      <c r="B30" s="152"/>
      <c r="C30" s="152" t="s">
        <v>275</v>
      </c>
      <c r="D30" s="152" t="s">
        <v>150</v>
      </c>
      <c r="E30" s="152"/>
      <c r="F30" s="273" t="s">
        <v>153</v>
      </c>
      <c r="G30" s="152"/>
      <c r="H30" s="154">
        <f>K30</f>
        <v>170000</v>
      </c>
      <c r="I30" s="154"/>
      <c r="J30" s="154"/>
      <c r="K30" s="154">
        <v>170000</v>
      </c>
      <c r="L30" s="154"/>
      <c r="M30" s="154"/>
      <c r="N30" s="154"/>
      <c r="O30" s="143"/>
    </row>
    <row r="31" spans="1:15" s="140" customFormat="1" ht="25.5" hidden="1">
      <c r="A31" s="123" t="s">
        <v>239</v>
      </c>
      <c r="B31" s="124"/>
      <c r="C31" s="124" t="s">
        <v>108</v>
      </c>
      <c r="D31" s="124" t="s">
        <v>150</v>
      </c>
      <c r="E31" s="124"/>
      <c r="F31" s="128" t="s">
        <v>153</v>
      </c>
      <c r="G31" s="124"/>
      <c r="H31" s="121">
        <f>K31</f>
        <v>0</v>
      </c>
      <c r="I31" s="121"/>
      <c r="J31" s="121"/>
      <c r="K31" s="121"/>
      <c r="L31" s="121"/>
      <c r="M31" s="121"/>
      <c r="N31" s="121"/>
      <c r="O31" s="143"/>
    </row>
    <row r="32" spans="1:15" s="103" customFormat="1" ht="33.75" customHeight="1" hidden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153</v>
      </c>
      <c r="G32" s="124"/>
      <c r="H32" s="121">
        <f>K32</f>
        <v>0</v>
      </c>
      <c r="I32" s="121"/>
      <c r="J32" s="121"/>
      <c r="K32" s="121"/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17979586.17</v>
      </c>
      <c r="I33" s="138">
        <f>I57+I75+I91</f>
        <v>16509300</v>
      </c>
      <c r="J33" s="138"/>
      <c r="K33" s="138">
        <f>K110+K108+K106</f>
        <v>170000</v>
      </c>
      <c r="L33" s="138"/>
      <c r="M33" s="138"/>
      <c r="N33" s="138">
        <f>N114</f>
        <v>1300286.17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12812300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825000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16670500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1065000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186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186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>K106</f>
        <v>170000</v>
      </c>
      <c r="I106" s="133"/>
      <c r="J106" s="133"/>
      <c r="K106" s="133">
        <f>K107</f>
        <v>170000</v>
      </c>
      <c r="L106" s="133"/>
      <c r="M106" s="133"/>
      <c r="N106" s="133"/>
      <c r="O106" s="143"/>
    </row>
    <row r="107" spans="1:15" s="140" customFormat="1" ht="12.75">
      <c r="A107" s="275" t="s">
        <v>26</v>
      </c>
      <c r="B107" s="152"/>
      <c r="C107" s="276" t="s">
        <v>275</v>
      </c>
      <c r="D107" s="152" t="s">
        <v>150</v>
      </c>
      <c r="E107" s="152" t="s">
        <v>191</v>
      </c>
      <c r="F107" s="152" t="s">
        <v>319</v>
      </c>
      <c r="G107" s="152" t="s">
        <v>320</v>
      </c>
      <c r="H107" s="154">
        <f>K107</f>
        <v>170000</v>
      </c>
      <c r="I107" s="154"/>
      <c r="J107" s="154"/>
      <c r="K107" s="154">
        <v>170000</v>
      </c>
      <c r="L107" s="154"/>
      <c r="M107" s="154"/>
      <c r="N107" s="154"/>
      <c r="O107" s="143"/>
    </row>
    <row r="108" spans="1:15" s="140" customFormat="1" ht="12.75" hidden="1">
      <c r="A108" s="179" t="s">
        <v>240</v>
      </c>
      <c r="B108" s="180"/>
      <c r="C108" s="180" t="s">
        <v>108</v>
      </c>
      <c r="D108" s="181"/>
      <c r="E108" s="131"/>
      <c r="F108" s="131"/>
      <c r="G108" s="131"/>
      <c r="H108" s="133">
        <f aca="true" t="shared" si="2" ref="H108:H113">K108</f>
        <v>0</v>
      </c>
      <c r="I108" s="133"/>
      <c r="J108" s="133"/>
      <c r="K108" s="133">
        <f>K109</f>
        <v>0</v>
      </c>
      <c r="L108" s="133"/>
      <c r="M108" s="133"/>
      <c r="N108" s="133"/>
      <c r="O108" s="143"/>
    </row>
    <row r="109" spans="1:15" s="140" customFormat="1" ht="12.75" hidden="1">
      <c r="A109" s="142" t="s">
        <v>26</v>
      </c>
      <c r="B109" s="124"/>
      <c r="C109" s="178" t="s">
        <v>108</v>
      </c>
      <c r="D109" s="124" t="s">
        <v>150</v>
      </c>
      <c r="E109" s="124" t="s">
        <v>191</v>
      </c>
      <c r="F109" s="124" t="s">
        <v>186</v>
      </c>
      <c r="G109" s="124" t="s">
        <v>195</v>
      </c>
      <c r="H109" s="121">
        <f t="shared" si="2"/>
        <v>0</v>
      </c>
      <c r="I109" s="121"/>
      <c r="J109" s="121"/>
      <c r="K109" s="121"/>
      <c r="L109" s="121"/>
      <c r="M109" s="121"/>
      <c r="N109" s="121"/>
      <c r="O109" s="143"/>
    </row>
    <row r="110" spans="1:15" s="140" customFormat="1" ht="12.75" hidden="1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0</v>
      </c>
      <c r="I110" s="133"/>
      <c r="J110" s="133"/>
      <c r="K110" s="133">
        <f>K112+K113+K111</f>
        <v>0</v>
      </c>
      <c r="L110" s="133"/>
      <c r="M110" s="133"/>
      <c r="N110" s="133"/>
      <c r="O110" s="143"/>
    </row>
    <row r="111" spans="1:15" s="140" customFormat="1" ht="12.75" hidden="1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0</v>
      </c>
      <c r="I111" s="121"/>
      <c r="J111" s="121"/>
      <c r="K111" s="121"/>
      <c r="L111" s="121"/>
      <c r="M111" s="121"/>
      <c r="N111" s="121"/>
      <c r="O111" s="143"/>
    </row>
    <row r="112" spans="1:15" s="140" customFormat="1" ht="12.75" hidden="1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0</v>
      </c>
      <c r="I112" s="121"/>
      <c r="J112" s="121"/>
      <c r="K112" s="121"/>
      <c r="L112" s="121"/>
      <c r="M112" s="121"/>
      <c r="N112" s="121"/>
      <c r="O112" s="143"/>
    </row>
    <row r="113" spans="1:15" s="140" customFormat="1" ht="25.5" hidden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0</v>
      </c>
      <c r="I113" s="121"/>
      <c r="J113" s="121"/>
      <c r="K113" s="121"/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1300286.17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1300286.17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815000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v>815000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250000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v>250000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v>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v>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 hidden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0</v>
      </c>
      <c r="I124" s="125"/>
      <c r="J124" s="125"/>
      <c r="K124" s="125"/>
      <c r="L124" s="125"/>
      <c r="M124" s="125"/>
      <c r="N124" s="121"/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186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22710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</f>
        <v>22710</v>
      </c>
      <c r="O129" s="119" t="s">
        <v>146</v>
      </c>
    </row>
    <row r="130" spans="1:15" s="140" customFormat="1" ht="12.75" hidden="1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186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21"/>
      <c r="O130" s="119"/>
    </row>
    <row r="131" spans="1:15" s="140" customFormat="1" ht="25.5" hidden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0</v>
      </c>
      <c r="I131" s="125"/>
      <c r="J131" s="125"/>
      <c r="K131" s="125"/>
      <c r="L131" s="125"/>
      <c r="M131" s="125"/>
      <c r="N131" s="121"/>
      <c r="O131" s="119"/>
    </row>
    <row r="132" spans="1:15" s="140" customFormat="1" ht="25.5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17790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</f>
        <v>17790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16852000</v>
      </c>
      <c r="I135" s="154">
        <f>I58+I59+I60+I61+I62</f>
        <v>15607000</v>
      </c>
      <c r="J135" s="154"/>
      <c r="K135" s="154">
        <f>K107</f>
        <v>170000</v>
      </c>
      <c r="L135" s="155" t="s">
        <v>146</v>
      </c>
      <c r="M135" s="155" t="s">
        <v>146</v>
      </c>
      <c r="N135" s="154">
        <f>N115+N116+N117</f>
        <v>1075000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1127586.17</v>
      </c>
      <c r="I136" s="158">
        <f>I138+I137</f>
        <v>902300</v>
      </c>
      <c r="J136" s="158">
        <f>J138+J137</f>
        <v>0</v>
      </c>
      <c r="K136" s="158">
        <f>K138+K137</f>
        <v>0</v>
      </c>
      <c r="L136" s="159"/>
      <c r="M136" s="159"/>
      <c r="N136" s="158">
        <f>N138+N137</f>
        <v>225286.16999999998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1127586.17</v>
      </c>
      <c r="I138" s="154">
        <f>I63+I64+I68+I72+I81+I83+I84+I88+I90+I74</f>
        <v>902300</v>
      </c>
      <c r="J138" s="154"/>
      <c r="K138" s="154"/>
      <c r="L138" s="155" t="s">
        <v>146</v>
      </c>
      <c r="M138" s="155" t="s">
        <v>146</v>
      </c>
      <c r="N138" s="154">
        <f>N118+N119+N121+N123+N125+N127+N129+N132</f>
        <v>225286.16999999998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0">
    <mergeCell ref="A3:O3"/>
    <mergeCell ref="B4:M4"/>
    <mergeCell ref="N4:O4"/>
    <mergeCell ref="A6:A8"/>
    <mergeCell ref="B6:B8"/>
    <mergeCell ref="C6:C8"/>
    <mergeCell ref="D6:D8"/>
    <mergeCell ref="E6:E8"/>
    <mergeCell ref="F6:F8"/>
    <mergeCell ref="G6:G8"/>
    <mergeCell ref="H6:O6"/>
    <mergeCell ref="H7:H8"/>
    <mergeCell ref="I7:O7"/>
    <mergeCell ref="N8:O8"/>
    <mergeCell ref="B15:B19"/>
    <mergeCell ref="C16:C19"/>
    <mergeCell ref="B20:B23"/>
    <mergeCell ref="J20:J21"/>
    <mergeCell ref="G21:G22"/>
    <mergeCell ref="F61:F62"/>
    <mergeCell ref="A21:A22"/>
    <mergeCell ref="C21:C22"/>
    <mergeCell ref="E21:E22"/>
    <mergeCell ref="F21:F22"/>
    <mergeCell ref="E61:E62"/>
    <mergeCell ref="A114:B114"/>
    <mergeCell ref="C61:C62"/>
    <mergeCell ref="G61:G62"/>
    <mergeCell ref="A57:B57"/>
    <mergeCell ref="A58:A59"/>
    <mergeCell ref="B58:B59"/>
    <mergeCell ref="C58:C59"/>
    <mergeCell ref="E58:E59"/>
    <mergeCell ref="F58:F59"/>
    <mergeCell ref="G58:G59"/>
    <mergeCell ref="A75:B75"/>
    <mergeCell ref="A91:B91"/>
    <mergeCell ref="A110:D110"/>
    <mergeCell ref="B61:B62"/>
    <mergeCell ref="A61:A6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63">
      <selection activeCell="F17" sqref="F17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333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17960800</v>
      </c>
      <c r="I14" s="115">
        <f>I20</f>
        <v>16509300</v>
      </c>
      <c r="J14" s="115"/>
      <c r="K14" s="115">
        <f>K26</f>
        <v>170000</v>
      </c>
      <c r="L14" s="116" t="s">
        <v>146</v>
      </c>
      <c r="M14" s="116" t="s">
        <v>146</v>
      </c>
      <c r="N14" s="115">
        <f>N15</f>
        <v>1281500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1281500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1281500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120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31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33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151</v>
      </c>
      <c r="G18" s="124"/>
      <c r="H18" s="121">
        <f>N18</f>
        <v>0</v>
      </c>
      <c r="I18" s="122" t="s">
        <v>146</v>
      </c>
      <c r="J18" s="122"/>
      <c r="K18" s="122" t="s">
        <v>146</v>
      </c>
      <c r="L18" s="122"/>
      <c r="M18" s="122"/>
      <c r="N18" s="121"/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31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33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130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130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170000</v>
      </c>
      <c r="I26" s="173" t="s">
        <v>146</v>
      </c>
      <c r="J26" s="172"/>
      <c r="K26" s="173">
        <f>K32+K31+K30</f>
        <v>170000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274" t="s">
        <v>317</v>
      </c>
      <c r="B30" s="152"/>
      <c r="C30" s="152" t="s">
        <v>275</v>
      </c>
      <c r="D30" s="152" t="s">
        <v>150</v>
      </c>
      <c r="E30" s="152"/>
      <c r="F30" s="273" t="s">
        <v>153</v>
      </c>
      <c r="G30" s="152"/>
      <c r="H30" s="154">
        <f>K30</f>
        <v>170000</v>
      </c>
      <c r="I30" s="154"/>
      <c r="J30" s="154"/>
      <c r="K30" s="154">
        <v>170000</v>
      </c>
      <c r="L30" s="154"/>
      <c r="M30" s="154"/>
      <c r="N30" s="154"/>
      <c r="O30" s="143"/>
    </row>
    <row r="31" spans="1:15" s="140" customFormat="1" ht="25.5" hidden="1">
      <c r="A31" s="123" t="s">
        <v>239</v>
      </c>
      <c r="B31" s="124"/>
      <c r="C31" s="124" t="s">
        <v>108</v>
      </c>
      <c r="D31" s="124" t="s">
        <v>150</v>
      </c>
      <c r="E31" s="124"/>
      <c r="F31" s="128" t="s">
        <v>153</v>
      </c>
      <c r="G31" s="124"/>
      <c r="H31" s="121">
        <f>K31</f>
        <v>0</v>
      </c>
      <c r="I31" s="121"/>
      <c r="J31" s="121"/>
      <c r="K31" s="121"/>
      <c r="L31" s="121"/>
      <c r="M31" s="121"/>
      <c r="N31" s="121"/>
      <c r="O31" s="143"/>
    </row>
    <row r="32" spans="1:15" s="103" customFormat="1" ht="33.75" customHeight="1" hidden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153</v>
      </c>
      <c r="G32" s="124"/>
      <c r="H32" s="121">
        <f>K32</f>
        <v>0</v>
      </c>
      <c r="I32" s="121"/>
      <c r="J32" s="121"/>
      <c r="K32" s="121"/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17979586.17</v>
      </c>
      <c r="I33" s="138">
        <f>I57+I75+I91</f>
        <v>16509300</v>
      </c>
      <c r="J33" s="138"/>
      <c r="K33" s="138">
        <f>K110+K108+K106</f>
        <v>170000</v>
      </c>
      <c r="L33" s="138"/>
      <c r="M33" s="138"/>
      <c r="N33" s="138">
        <f>N114</f>
        <v>1300286.17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12812300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825000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16670500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1065000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186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186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>K106</f>
        <v>170000</v>
      </c>
      <c r="I106" s="133"/>
      <c r="J106" s="133"/>
      <c r="K106" s="133">
        <f>K107</f>
        <v>170000</v>
      </c>
      <c r="L106" s="133"/>
      <c r="M106" s="133"/>
      <c r="N106" s="133"/>
      <c r="O106" s="143"/>
    </row>
    <row r="107" spans="1:15" s="140" customFormat="1" ht="12.75">
      <c r="A107" s="275" t="s">
        <v>26</v>
      </c>
      <c r="B107" s="152"/>
      <c r="C107" s="276" t="s">
        <v>275</v>
      </c>
      <c r="D107" s="152" t="s">
        <v>150</v>
      </c>
      <c r="E107" s="152" t="s">
        <v>191</v>
      </c>
      <c r="F107" s="152" t="s">
        <v>319</v>
      </c>
      <c r="G107" s="152" t="s">
        <v>320</v>
      </c>
      <c r="H107" s="154">
        <f>K107</f>
        <v>170000</v>
      </c>
      <c r="I107" s="154"/>
      <c r="J107" s="154"/>
      <c r="K107" s="154">
        <v>170000</v>
      </c>
      <c r="L107" s="154"/>
      <c r="M107" s="154"/>
      <c r="N107" s="154"/>
      <c r="O107" s="143"/>
    </row>
    <row r="108" spans="1:15" s="140" customFormat="1" ht="12.75" hidden="1">
      <c r="A108" s="179" t="s">
        <v>240</v>
      </c>
      <c r="B108" s="180"/>
      <c r="C108" s="180" t="s">
        <v>108</v>
      </c>
      <c r="D108" s="181"/>
      <c r="E108" s="131"/>
      <c r="F108" s="131"/>
      <c r="G108" s="131"/>
      <c r="H108" s="133">
        <f aca="true" t="shared" si="2" ref="H108:H113">K108</f>
        <v>0</v>
      </c>
      <c r="I108" s="133"/>
      <c r="J108" s="133"/>
      <c r="K108" s="133">
        <f>K109</f>
        <v>0</v>
      </c>
      <c r="L108" s="133"/>
      <c r="M108" s="133"/>
      <c r="N108" s="133"/>
      <c r="O108" s="143"/>
    </row>
    <row r="109" spans="1:15" s="140" customFormat="1" ht="12.75" hidden="1">
      <c r="A109" s="142" t="s">
        <v>26</v>
      </c>
      <c r="B109" s="124"/>
      <c r="C109" s="178" t="s">
        <v>108</v>
      </c>
      <c r="D109" s="124" t="s">
        <v>150</v>
      </c>
      <c r="E109" s="124" t="s">
        <v>191</v>
      </c>
      <c r="F109" s="124" t="s">
        <v>186</v>
      </c>
      <c r="G109" s="124" t="s">
        <v>195</v>
      </c>
      <c r="H109" s="121">
        <f t="shared" si="2"/>
        <v>0</v>
      </c>
      <c r="I109" s="121"/>
      <c r="J109" s="121"/>
      <c r="K109" s="121"/>
      <c r="L109" s="121"/>
      <c r="M109" s="121"/>
      <c r="N109" s="121"/>
      <c r="O109" s="143"/>
    </row>
    <row r="110" spans="1:15" s="140" customFormat="1" ht="12.75" hidden="1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0</v>
      </c>
      <c r="I110" s="133"/>
      <c r="J110" s="133"/>
      <c r="K110" s="133">
        <f>K112+K113+K111</f>
        <v>0</v>
      </c>
      <c r="L110" s="133"/>
      <c r="M110" s="133"/>
      <c r="N110" s="133"/>
      <c r="O110" s="143"/>
    </row>
    <row r="111" spans="1:15" s="140" customFormat="1" ht="12.75" hidden="1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0</v>
      </c>
      <c r="I111" s="121"/>
      <c r="J111" s="121"/>
      <c r="K111" s="121"/>
      <c r="L111" s="121"/>
      <c r="M111" s="121"/>
      <c r="N111" s="121"/>
      <c r="O111" s="143"/>
    </row>
    <row r="112" spans="1:15" s="140" customFormat="1" ht="12.75" hidden="1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0</v>
      </c>
      <c r="I112" s="121"/>
      <c r="J112" s="121"/>
      <c r="K112" s="121"/>
      <c r="L112" s="121"/>
      <c r="M112" s="121"/>
      <c r="N112" s="121"/>
      <c r="O112" s="143"/>
    </row>
    <row r="113" spans="1:15" s="140" customFormat="1" ht="25.5" hidden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0</v>
      </c>
      <c r="I113" s="121"/>
      <c r="J113" s="121"/>
      <c r="K113" s="121"/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1300286.17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1300286.17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815000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v>815000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250000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v>250000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v>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v>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 hidden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0</v>
      </c>
      <c r="I124" s="125"/>
      <c r="J124" s="125"/>
      <c r="K124" s="125"/>
      <c r="L124" s="125"/>
      <c r="M124" s="125"/>
      <c r="N124" s="121"/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186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22710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</f>
        <v>22710</v>
      </c>
      <c r="O129" s="119" t="s">
        <v>146</v>
      </c>
    </row>
    <row r="130" spans="1:15" s="140" customFormat="1" ht="12.75" hidden="1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186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21"/>
      <c r="O130" s="119"/>
    </row>
    <row r="131" spans="1:15" s="140" customFormat="1" ht="25.5" hidden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0</v>
      </c>
      <c r="I131" s="125"/>
      <c r="J131" s="125"/>
      <c r="K131" s="125"/>
      <c r="L131" s="125"/>
      <c r="M131" s="125"/>
      <c r="N131" s="121"/>
      <c r="O131" s="119"/>
    </row>
    <row r="132" spans="1:15" s="140" customFormat="1" ht="25.5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17790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</f>
        <v>17790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16852000</v>
      </c>
      <c r="I135" s="154">
        <f>I58+I59+I60+I61+I62</f>
        <v>15607000</v>
      </c>
      <c r="J135" s="154"/>
      <c r="K135" s="154">
        <f>K107</f>
        <v>170000</v>
      </c>
      <c r="L135" s="155" t="s">
        <v>146</v>
      </c>
      <c r="M135" s="155" t="s">
        <v>146</v>
      </c>
      <c r="N135" s="154">
        <f>N115+N116+N117</f>
        <v>1075000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1127586.17</v>
      </c>
      <c r="I136" s="158">
        <f>I138+I137</f>
        <v>902300</v>
      </c>
      <c r="J136" s="158">
        <f>J138+J137</f>
        <v>0</v>
      </c>
      <c r="K136" s="158">
        <f>K138+K137</f>
        <v>0</v>
      </c>
      <c r="L136" s="159"/>
      <c r="M136" s="159"/>
      <c r="N136" s="158">
        <f>N138+N137</f>
        <v>225286.16999999998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1127586.17</v>
      </c>
      <c r="I138" s="154">
        <f>I63+I64+I68+I72+I81+I83+I84+I88+I90+I74</f>
        <v>902300</v>
      </c>
      <c r="J138" s="154"/>
      <c r="K138" s="154"/>
      <c r="L138" s="155" t="s">
        <v>146</v>
      </c>
      <c r="M138" s="155" t="s">
        <v>146</v>
      </c>
      <c r="N138" s="154">
        <f>N118+N119+N121+N123+N125+N127+N129+N132</f>
        <v>225286.16999999998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0">
    <mergeCell ref="A3:O3"/>
    <mergeCell ref="B4:M4"/>
    <mergeCell ref="N4:O4"/>
    <mergeCell ref="A6:A8"/>
    <mergeCell ref="B6:B8"/>
    <mergeCell ref="C6:C8"/>
    <mergeCell ref="D6:D8"/>
    <mergeCell ref="E6:E8"/>
    <mergeCell ref="F6:F8"/>
    <mergeCell ref="G6:G8"/>
    <mergeCell ref="H6:O6"/>
    <mergeCell ref="H7:H8"/>
    <mergeCell ref="I7:O7"/>
    <mergeCell ref="N8:O8"/>
    <mergeCell ref="B15:B19"/>
    <mergeCell ref="C16:C19"/>
    <mergeCell ref="B20:B23"/>
    <mergeCell ref="J20:J21"/>
    <mergeCell ref="G21:G22"/>
    <mergeCell ref="F61:F62"/>
    <mergeCell ref="A21:A22"/>
    <mergeCell ref="C21:C22"/>
    <mergeCell ref="E21:E22"/>
    <mergeCell ref="F21:F22"/>
    <mergeCell ref="E61:E62"/>
    <mergeCell ref="A114:B114"/>
    <mergeCell ref="C61:C62"/>
    <mergeCell ref="G61:G62"/>
    <mergeCell ref="A57:B57"/>
    <mergeCell ref="A58:A59"/>
    <mergeCell ref="B58:B59"/>
    <mergeCell ref="C58:C59"/>
    <mergeCell ref="E58:E59"/>
    <mergeCell ref="F58:F59"/>
    <mergeCell ref="G58:G59"/>
    <mergeCell ref="A75:B75"/>
    <mergeCell ref="A91:B91"/>
    <mergeCell ref="A110:D110"/>
    <mergeCell ref="B61:B62"/>
    <mergeCell ref="A61:A6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68">
      <selection activeCell="H136" sqref="H136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336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18149658</v>
      </c>
      <c r="I14" s="115">
        <f>I20</f>
        <v>16509300</v>
      </c>
      <c r="J14" s="115"/>
      <c r="K14" s="115">
        <f>K26</f>
        <v>291508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33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291508</v>
      </c>
      <c r="I26" s="173" t="s">
        <v>146</v>
      </c>
      <c r="J26" s="172"/>
      <c r="K26" s="173">
        <f>K32+K31+K30</f>
        <v>291508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170000</v>
      </c>
      <c r="I30" s="121"/>
      <c r="J30" s="121"/>
      <c r="K30" s="121">
        <v>170000</v>
      </c>
      <c r="L30" s="121"/>
      <c r="M30" s="121"/>
      <c r="N30" s="121"/>
      <c r="O30" s="143"/>
    </row>
    <row r="31" spans="1:15" s="140" customFormat="1" ht="40.5" customHeight="1">
      <c r="A31" s="279" t="s">
        <v>112</v>
      </c>
      <c r="B31" s="131"/>
      <c r="C31" s="131" t="s">
        <v>97</v>
      </c>
      <c r="D31" s="131" t="s">
        <v>338</v>
      </c>
      <c r="E31" s="131"/>
      <c r="F31" s="132" t="s">
        <v>337</v>
      </c>
      <c r="G31" s="131"/>
      <c r="H31" s="133">
        <f>K31</f>
        <v>100000</v>
      </c>
      <c r="I31" s="134"/>
      <c r="J31" s="121"/>
      <c r="K31" s="133">
        <v>100000</v>
      </c>
      <c r="L31" s="121"/>
      <c r="M31" s="121"/>
      <c r="N31" s="122"/>
      <c r="O31" s="143"/>
    </row>
    <row r="32" spans="1:15" s="103" customFormat="1" ht="33.75" customHeight="1">
      <c r="A32" s="279" t="s">
        <v>237</v>
      </c>
      <c r="B32" s="131"/>
      <c r="C32" s="131" t="s">
        <v>78</v>
      </c>
      <c r="D32" s="131" t="s">
        <v>150</v>
      </c>
      <c r="E32" s="131"/>
      <c r="F32" s="132" t="s">
        <v>337</v>
      </c>
      <c r="G32" s="131"/>
      <c r="H32" s="133">
        <f>K32</f>
        <v>21508</v>
      </c>
      <c r="I32" s="133"/>
      <c r="J32" s="133"/>
      <c r="K32" s="133">
        <v>21508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18168444.17</v>
      </c>
      <c r="I33" s="138">
        <f>I57+I75+I91</f>
        <v>16509300</v>
      </c>
      <c r="J33" s="138"/>
      <c r="K33" s="138">
        <f>K110+K108+K106</f>
        <v>291508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12812300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825000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16670500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1065000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31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31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170000</v>
      </c>
      <c r="I106" s="133"/>
      <c r="J106" s="133"/>
      <c r="K106" s="148">
        <f>K107</f>
        <v>170000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170000</v>
      </c>
      <c r="I107" s="121"/>
      <c r="J107" s="121"/>
      <c r="K107" s="121">
        <v>170000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33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21508</v>
      </c>
      <c r="I110" s="133"/>
      <c r="J110" s="133"/>
      <c r="K110" s="148">
        <f>K112+K113+K111</f>
        <v>21508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2753</v>
      </c>
      <c r="I111" s="121"/>
      <c r="J111" s="121"/>
      <c r="K111" s="133">
        <v>2753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16080</v>
      </c>
      <c r="I112" s="121"/>
      <c r="J112" s="121"/>
      <c r="K112" s="133">
        <v>16080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33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815000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v>815000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250000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v>250000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v>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v>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63882.75</v>
      </c>
      <c r="I124" s="125"/>
      <c r="J124" s="125"/>
      <c r="K124" s="125"/>
      <c r="L124" s="125"/>
      <c r="M124" s="125"/>
      <c r="N124" s="133">
        <v>63882.75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31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22710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</f>
        <v>22710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1890</v>
      </c>
      <c r="I130" s="125"/>
      <c r="J130" s="125"/>
      <c r="K130" s="125"/>
      <c r="L130" s="125"/>
      <c r="M130" s="125"/>
      <c r="N130" s="133">
        <v>1890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33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17790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</f>
        <v>17790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16852000</v>
      </c>
      <c r="I135" s="154">
        <f>I58+I59+I60+I61+I62</f>
        <v>15607000</v>
      </c>
      <c r="J135" s="154"/>
      <c r="K135" s="154">
        <f>K107</f>
        <v>170000</v>
      </c>
      <c r="L135" s="155" t="s">
        <v>146</v>
      </c>
      <c r="M135" s="155" t="s">
        <v>146</v>
      </c>
      <c r="N135" s="154">
        <f>N115+N116+N117</f>
        <v>1075000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1316444.17</v>
      </c>
      <c r="I136" s="158">
        <f>I138+I137</f>
        <v>902300</v>
      </c>
      <c r="J136" s="158">
        <f>J138+J137</f>
        <v>0</v>
      </c>
      <c r="K136" s="158">
        <f>K138+K137</f>
        <v>121508</v>
      </c>
      <c r="L136" s="159"/>
      <c r="M136" s="159"/>
      <c r="N136" s="158">
        <f>N138+N137</f>
        <v>292636.17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1316444.17</v>
      </c>
      <c r="I138" s="154">
        <f>I63+I64+I68+I72+I81+I83+I84+I88+I90+I74</f>
        <v>902300</v>
      </c>
      <c r="J138" s="154"/>
      <c r="K138" s="154">
        <f>K109+K111+K112+K113</f>
        <v>121508</v>
      </c>
      <c r="L138" s="155" t="s">
        <v>146</v>
      </c>
      <c r="M138" s="155" t="s">
        <v>146</v>
      </c>
      <c r="N138" s="154">
        <f>N118+N119+N121+N123+N125+N127+N129+N132+N124+N130+N131</f>
        <v>292636.17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B20:B23"/>
    <mergeCell ref="A57:B57"/>
    <mergeCell ref="B61:B62"/>
    <mergeCell ref="C61:C62"/>
    <mergeCell ref="A21:A22"/>
    <mergeCell ref="C21:C22"/>
    <mergeCell ref="A110:D110"/>
    <mergeCell ref="G58:G59"/>
    <mergeCell ref="A61:A62"/>
    <mergeCell ref="E61:E62"/>
    <mergeCell ref="F61:F62"/>
    <mergeCell ref="A114:B114"/>
    <mergeCell ref="A108:C108"/>
    <mergeCell ref="G61:G62"/>
    <mergeCell ref="E58:E59"/>
    <mergeCell ref="F58:F59"/>
    <mergeCell ref="A75:B75"/>
    <mergeCell ref="A91:B91"/>
    <mergeCell ref="A58:A59"/>
    <mergeCell ref="B58:B59"/>
    <mergeCell ref="C58:C59"/>
    <mergeCell ref="A3:O3"/>
    <mergeCell ref="B4:M4"/>
    <mergeCell ref="N4:O4"/>
    <mergeCell ref="A6:A8"/>
    <mergeCell ref="B6:B8"/>
    <mergeCell ref="E6:E8"/>
    <mergeCell ref="F6:F8"/>
    <mergeCell ref="H6:O6"/>
    <mergeCell ref="H7:H8"/>
    <mergeCell ref="E21:E22"/>
    <mergeCell ref="J20:J21"/>
    <mergeCell ref="G21:G22"/>
    <mergeCell ref="F21:F22"/>
    <mergeCell ref="I7:O7"/>
    <mergeCell ref="N8:O8"/>
    <mergeCell ref="B15:B19"/>
    <mergeCell ref="C16:C19"/>
    <mergeCell ref="C6:C8"/>
    <mergeCell ref="D6:D8"/>
    <mergeCell ref="G6:G8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68">
      <selection activeCell="N138" sqref="N138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353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18149658</v>
      </c>
      <c r="I14" s="115">
        <f>I20</f>
        <v>16509300</v>
      </c>
      <c r="J14" s="115"/>
      <c r="K14" s="115">
        <f>K26</f>
        <v>291508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291508</v>
      </c>
      <c r="I26" s="173" t="s">
        <v>146</v>
      </c>
      <c r="J26" s="172"/>
      <c r="K26" s="173">
        <f>K32+K31+K30</f>
        <v>291508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170000</v>
      </c>
      <c r="I30" s="121"/>
      <c r="J30" s="121"/>
      <c r="K30" s="121">
        <v>170000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337</v>
      </c>
      <c r="G32" s="124"/>
      <c r="H32" s="121">
        <f>K32</f>
        <v>21508</v>
      </c>
      <c r="I32" s="121"/>
      <c r="J32" s="121"/>
      <c r="K32" s="121">
        <v>21508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18168444.17</v>
      </c>
      <c r="I33" s="138">
        <f>I57+I75+I91</f>
        <v>16509300</v>
      </c>
      <c r="J33" s="138"/>
      <c r="K33" s="138">
        <f>K110+K108+K106</f>
        <v>291508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12612300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625000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16470500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865000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170000</v>
      </c>
      <c r="I106" s="133"/>
      <c r="J106" s="133"/>
      <c r="K106" s="148">
        <f>K107</f>
        <v>170000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170000</v>
      </c>
      <c r="I107" s="121"/>
      <c r="J107" s="121"/>
      <c r="K107" s="121">
        <v>170000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21508</v>
      </c>
      <c r="I110" s="133"/>
      <c r="J110" s="133"/>
      <c r="K110" s="148">
        <f>K112+K113+K111</f>
        <v>21508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2753</v>
      </c>
      <c r="I111" s="121"/>
      <c r="J111" s="121"/>
      <c r="K111" s="121">
        <v>2753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16080</v>
      </c>
      <c r="I112" s="121"/>
      <c r="J112" s="121"/>
      <c r="K112" s="121">
        <v>16080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615000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33">
        <f>815000-200000</f>
        <v>615000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250000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v>250000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v>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v>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63882.75</v>
      </c>
      <c r="I124" s="125"/>
      <c r="J124" s="125"/>
      <c r="K124" s="125"/>
      <c r="L124" s="125"/>
      <c r="M124" s="125"/>
      <c r="N124" s="121">
        <v>63882.75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222710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33">
        <f>18500+4210+200000</f>
        <v>222710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1890</v>
      </c>
      <c r="I130" s="125"/>
      <c r="J130" s="125"/>
      <c r="K130" s="125"/>
      <c r="L130" s="125"/>
      <c r="M130" s="125"/>
      <c r="N130" s="121">
        <v>1890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17790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</f>
        <v>17790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16652000</v>
      </c>
      <c r="I135" s="154">
        <f>I58+I59+I60+I61+I62</f>
        <v>15607000</v>
      </c>
      <c r="J135" s="154"/>
      <c r="K135" s="154">
        <f>K107</f>
        <v>170000</v>
      </c>
      <c r="L135" s="155" t="s">
        <v>146</v>
      </c>
      <c r="M135" s="155" t="s">
        <v>146</v>
      </c>
      <c r="N135" s="154">
        <f>N115+N116+N117</f>
        <v>875000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1516444.17</v>
      </c>
      <c r="I136" s="158">
        <f>I138+I137</f>
        <v>902300</v>
      </c>
      <c r="J136" s="158">
        <f>J138+J137</f>
        <v>0</v>
      </c>
      <c r="K136" s="158">
        <f>K138+K137</f>
        <v>121508</v>
      </c>
      <c r="L136" s="159"/>
      <c r="M136" s="159"/>
      <c r="N136" s="158">
        <f>N138+N137</f>
        <v>492636.17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1516444.17</v>
      </c>
      <c r="I138" s="154">
        <f>I63+I64+I68+I72+I81+I83+I84+I88+I90+I74</f>
        <v>902300</v>
      </c>
      <c r="J138" s="154"/>
      <c r="K138" s="154">
        <f>K109+K111+K112+K113</f>
        <v>121508</v>
      </c>
      <c r="L138" s="155" t="s">
        <v>146</v>
      </c>
      <c r="M138" s="155" t="s">
        <v>146</v>
      </c>
      <c r="N138" s="154">
        <f>N118+N119+N121+N123+N125+N127+N129+N132+N124+N130+N131</f>
        <v>492636.17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3:O3"/>
    <mergeCell ref="B4:M4"/>
    <mergeCell ref="N4:O4"/>
    <mergeCell ref="A6:A8"/>
    <mergeCell ref="B6:B8"/>
    <mergeCell ref="C6:C8"/>
    <mergeCell ref="D6:D8"/>
    <mergeCell ref="E6:E8"/>
    <mergeCell ref="F6:F8"/>
    <mergeCell ref="J20:J21"/>
    <mergeCell ref="G21:G22"/>
    <mergeCell ref="H6:O6"/>
    <mergeCell ref="H7:H8"/>
    <mergeCell ref="I7:O7"/>
    <mergeCell ref="N8:O8"/>
    <mergeCell ref="G6:G8"/>
    <mergeCell ref="B20:B23"/>
    <mergeCell ref="B15:B19"/>
    <mergeCell ref="C16:C19"/>
    <mergeCell ref="A21:A22"/>
    <mergeCell ref="C21:C22"/>
    <mergeCell ref="E21:E22"/>
    <mergeCell ref="F21:F22"/>
    <mergeCell ref="F61:F62"/>
    <mergeCell ref="G61:G62"/>
    <mergeCell ref="E58:E59"/>
    <mergeCell ref="F58:F59"/>
    <mergeCell ref="A57:B57"/>
    <mergeCell ref="A58:A59"/>
    <mergeCell ref="B58:B59"/>
    <mergeCell ref="C58:C59"/>
    <mergeCell ref="A75:B75"/>
    <mergeCell ref="A91:B91"/>
    <mergeCell ref="A114:B114"/>
    <mergeCell ref="G58:G59"/>
    <mergeCell ref="A61:A62"/>
    <mergeCell ref="B61:B62"/>
    <mergeCell ref="C61:C62"/>
    <mergeCell ref="E61:E62"/>
    <mergeCell ref="A108:C108"/>
    <mergeCell ref="A110:D110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6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75">
      <selection activeCell="N129" sqref="N129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374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18227149</v>
      </c>
      <c r="I14" s="115">
        <f>I20</f>
        <v>16509300</v>
      </c>
      <c r="J14" s="115"/>
      <c r="K14" s="115">
        <f>K26</f>
        <v>368999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368999</v>
      </c>
      <c r="I26" s="173" t="s">
        <v>146</v>
      </c>
      <c r="J26" s="172"/>
      <c r="K26" s="173">
        <f>K32+K31+K30</f>
        <v>368999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245000</v>
      </c>
      <c r="I30" s="121"/>
      <c r="J30" s="121"/>
      <c r="K30" s="133">
        <f>170000+75000</f>
        <v>245000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337</v>
      </c>
      <c r="G32" s="124"/>
      <c r="H32" s="121">
        <f>K32</f>
        <v>23999</v>
      </c>
      <c r="I32" s="121"/>
      <c r="J32" s="121"/>
      <c r="K32" s="133">
        <f>21508+2491</f>
        <v>23999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18245935.17</v>
      </c>
      <c r="I33" s="138">
        <f>I57+I75+I91</f>
        <v>16509300</v>
      </c>
      <c r="J33" s="138"/>
      <c r="K33" s="138">
        <f>K110+K108+K106</f>
        <v>368999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12612300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625000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16320500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715000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245000</v>
      </c>
      <c r="I106" s="133"/>
      <c r="J106" s="133"/>
      <c r="K106" s="148">
        <f>K107</f>
        <v>245000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245000</v>
      </c>
      <c r="I107" s="121"/>
      <c r="J107" s="121"/>
      <c r="K107" s="133">
        <f>170000+75000</f>
        <v>245000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23999</v>
      </c>
      <c r="I110" s="133"/>
      <c r="J110" s="133"/>
      <c r="K110" s="148">
        <f>K112+K113+K111</f>
        <v>23999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2753</v>
      </c>
      <c r="I111" s="121"/>
      <c r="J111" s="121"/>
      <c r="K111" s="121">
        <v>2753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18571</v>
      </c>
      <c r="I112" s="121"/>
      <c r="J112" s="121"/>
      <c r="K112" s="133">
        <f>16080+2491</f>
        <v>18571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615000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f>815000-200000</f>
        <v>615000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100000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33">
        <f>250000-150000</f>
        <v>100000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24000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33">
        <f>4000+20000</f>
        <v>24000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25000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33">
        <f>5000+20000</f>
        <v>25000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63882.75</v>
      </c>
      <c r="I124" s="125"/>
      <c r="J124" s="125"/>
      <c r="K124" s="125"/>
      <c r="L124" s="125"/>
      <c r="M124" s="125"/>
      <c r="N124" s="121">
        <v>63882.75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288710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33">
        <f>18500+4210+200000+66000</f>
        <v>288710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1890</v>
      </c>
      <c r="I130" s="125"/>
      <c r="J130" s="125"/>
      <c r="K130" s="125"/>
      <c r="L130" s="125"/>
      <c r="M130" s="125"/>
      <c r="N130" s="121">
        <v>1890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61790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33">
        <f>17000+790+44000</f>
        <v>61790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16577000</v>
      </c>
      <c r="I135" s="154">
        <f>I58+I59+I60+I61+I62</f>
        <v>15607000</v>
      </c>
      <c r="J135" s="154"/>
      <c r="K135" s="154">
        <f>K107</f>
        <v>245000</v>
      </c>
      <c r="L135" s="155" t="s">
        <v>146</v>
      </c>
      <c r="M135" s="155" t="s">
        <v>146</v>
      </c>
      <c r="N135" s="154">
        <f>N115+N116+N117</f>
        <v>725000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1668935.17</v>
      </c>
      <c r="I136" s="158">
        <f>I138+I137</f>
        <v>902300</v>
      </c>
      <c r="J136" s="158">
        <f>J138+J137</f>
        <v>0</v>
      </c>
      <c r="K136" s="158">
        <f>K138+K137</f>
        <v>123999</v>
      </c>
      <c r="L136" s="159"/>
      <c r="M136" s="159"/>
      <c r="N136" s="158">
        <f>N138+N137</f>
        <v>642636.1699999999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1668935.17</v>
      </c>
      <c r="I138" s="154">
        <f>I63+I64+I68+I72+I81+I83+I84+I88+I90+I74</f>
        <v>902300</v>
      </c>
      <c r="J138" s="154"/>
      <c r="K138" s="154">
        <f>K109+K111+K112+K113</f>
        <v>123999</v>
      </c>
      <c r="L138" s="155" t="s">
        <v>146</v>
      </c>
      <c r="M138" s="155" t="s">
        <v>146</v>
      </c>
      <c r="N138" s="154">
        <f>N118+N119+N121+N123+N125+N127+N129+N132+N124+N130+N131</f>
        <v>642636.1699999999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114:B114"/>
    <mergeCell ref="G58:G59"/>
    <mergeCell ref="A61:A62"/>
    <mergeCell ref="B61:B62"/>
    <mergeCell ref="C61:C62"/>
    <mergeCell ref="E61:E62"/>
    <mergeCell ref="A75:B75"/>
    <mergeCell ref="A91:B91"/>
    <mergeCell ref="A108:C108"/>
    <mergeCell ref="A110:D110"/>
    <mergeCell ref="F61:F62"/>
    <mergeCell ref="G61:G62"/>
    <mergeCell ref="A57:B57"/>
    <mergeCell ref="A58:A59"/>
    <mergeCell ref="B58:B59"/>
    <mergeCell ref="C58:C59"/>
    <mergeCell ref="E58:E59"/>
    <mergeCell ref="F58:F59"/>
    <mergeCell ref="A21:A22"/>
    <mergeCell ref="C21:C22"/>
    <mergeCell ref="E21:E22"/>
    <mergeCell ref="F21:F22"/>
    <mergeCell ref="B15:B19"/>
    <mergeCell ref="C16:C19"/>
    <mergeCell ref="B20:B23"/>
    <mergeCell ref="J20:J21"/>
    <mergeCell ref="G21:G22"/>
    <mergeCell ref="H6:O6"/>
    <mergeCell ref="H7:H8"/>
    <mergeCell ref="I7:O7"/>
    <mergeCell ref="N8:O8"/>
    <mergeCell ref="A3:O3"/>
    <mergeCell ref="B4:M4"/>
    <mergeCell ref="N4:O4"/>
    <mergeCell ref="A6:A8"/>
    <mergeCell ref="B6:B8"/>
    <mergeCell ref="C6:C8"/>
    <mergeCell ref="D6:D8"/>
    <mergeCell ref="E6:E8"/>
    <mergeCell ref="F6:F8"/>
    <mergeCell ref="G6:G8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5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V157"/>
  <sheetViews>
    <sheetView view="pageBreakPreview" zoomScaleSheetLayoutView="100" zoomScalePageLayoutView="0" workbookViewId="0" topLeftCell="A72">
      <selection activeCell="N124" sqref="N124"/>
    </sheetView>
  </sheetViews>
  <sheetFormatPr defaultColWidth="1.37890625" defaultRowHeight="12.75"/>
  <cols>
    <col min="1" max="1" width="36.625" style="105" customWidth="1"/>
    <col min="2" max="2" width="5.25390625" style="105" customWidth="1"/>
    <col min="3" max="3" width="10.375" style="105" customWidth="1"/>
    <col min="4" max="4" width="17.75390625" style="105" customWidth="1"/>
    <col min="5" max="5" width="6.125" style="105" customWidth="1"/>
    <col min="6" max="6" width="7.75390625" style="105" customWidth="1"/>
    <col min="7" max="7" width="6.125" style="105" customWidth="1"/>
    <col min="8" max="8" width="12.375" style="105" customWidth="1"/>
    <col min="9" max="9" width="13.25390625" style="105" customWidth="1"/>
    <col min="10" max="10" width="11.00390625" style="105" hidden="1" customWidth="1"/>
    <col min="11" max="11" width="10.375" style="105" customWidth="1"/>
    <col min="12" max="12" width="6.125" style="105" hidden="1" customWidth="1"/>
    <col min="13" max="13" width="8.875" style="105" hidden="1" customWidth="1"/>
    <col min="14" max="14" width="11.00390625" style="105" customWidth="1"/>
    <col min="15" max="15" width="8.00390625" style="105" hidden="1" customWidth="1"/>
    <col min="16" max="21" width="1.37890625" style="105" customWidth="1"/>
    <col min="22" max="22" width="8.75390625" style="105" bestFit="1" customWidth="1"/>
    <col min="23" max="16384" width="1.37890625" style="105" customWidth="1"/>
  </cols>
  <sheetData>
    <row r="1" s="103" customFormat="1" ht="12.75" hidden="1"/>
    <row r="2" s="104" customFormat="1" ht="7.5" hidden="1"/>
    <row r="3" spans="1:15" ht="15.75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2:15" ht="15.75">
      <c r="B4" s="378" t="s">
        <v>384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 t="s">
        <v>124</v>
      </c>
      <c r="O4" s="378"/>
    </row>
    <row r="5" s="103" customFormat="1" ht="12.75"/>
    <row r="6" spans="1:15" s="107" customFormat="1" ht="23.25" customHeight="1">
      <c r="A6" s="379" t="s">
        <v>2</v>
      </c>
      <c r="B6" s="380" t="s">
        <v>125</v>
      </c>
      <c r="C6" s="380" t="s">
        <v>126</v>
      </c>
      <c r="D6" s="381" t="s">
        <v>127</v>
      </c>
      <c r="E6" s="381" t="s">
        <v>128</v>
      </c>
      <c r="F6" s="380" t="s">
        <v>129</v>
      </c>
      <c r="G6" s="379" t="s">
        <v>106</v>
      </c>
      <c r="H6" s="380" t="s">
        <v>130</v>
      </c>
      <c r="I6" s="380"/>
      <c r="J6" s="380"/>
      <c r="K6" s="380"/>
      <c r="L6" s="380"/>
      <c r="M6" s="380"/>
      <c r="N6" s="380"/>
      <c r="O6" s="380"/>
    </row>
    <row r="7" spans="1:15" s="107" customFormat="1" ht="12">
      <c r="A7" s="379"/>
      <c r="B7" s="380"/>
      <c r="C7" s="380"/>
      <c r="D7" s="382"/>
      <c r="E7" s="382"/>
      <c r="F7" s="380"/>
      <c r="G7" s="379"/>
      <c r="H7" s="388" t="s">
        <v>131</v>
      </c>
      <c r="I7" s="379" t="s">
        <v>132</v>
      </c>
      <c r="J7" s="379"/>
      <c r="K7" s="379"/>
      <c r="L7" s="379"/>
      <c r="M7" s="379"/>
      <c r="N7" s="379"/>
      <c r="O7" s="379"/>
    </row>
    <row r="8" spans="1:15" s="107" customFormat="1" ht="56.25" customHeight="1">
      <c r="A8" s="379"/>
      <c r="B8" s="380"/>
      <c r="C8" s="380"/>
      <c r="D8" s="383"/>
      <c r="E8" s="383"/>
      <c r="F8" s="380"/>
      <c r="G8" s="379"/>
      <c r="H8" s="389"/>
      <c r="I8" s="106" t="s">
        <v>133</v>
      </c>
      <c r="J8" s="106" t="s">
        <v>134</v>
      </c>
      <c r="K8" s="106" t="s">
        <v>135</v>
      </c>
      <c r="L8" s="106" t="s">
        <v>136</v>
      </c>
      <c r="M8" s="106" t="s">
        <v>137</v>
      </c>
      <c r="N8" s="380" t="s">
        <v>138</v>
      </c>
      <c r="O8" s="380"/>
    </row>
    <row r="9" spans="1:15" s="107" customFormat="1" ht="12">
      <c r="A9" s="108"/>
      <c r="B9" s="108"/>
      <c r="C9" s="109"/>
      <c r="D9" s="109"/>
      <c r="E9" s="109"/>
      <c r="F9" s="109"/>
      <c r="G9" s="110"/>
      <c r="H9" s="108"/>
      <c r="I9" s="108"/>
      <c r="J9" s="108"/>
      <c r="K9" s="108"/>
      <c r="L9" s="108"/>
      <c r="M9" s="108"/>
      <c r="N9" s="108" t="s">
        <v>131</v>
      </c>
      <c r="O9" s="108" t="s">
        <v>139</v>
      </c>
    </row>
    <row r="10" spans="1:15" s="107" customFormat="1" ht="12" customHeight="1" hidden="1">
      <c r="A10" s="108"/>
      <c r="B10" s="108"/>
      <c r="C10" s="109"/>
      <c r="D10" s="108"/>
      <c r="E10" s="109"/>
      <c r="F10" s="108"/>
      <c r="G10" s="110"/>
      <c r="H10" s="108"/>
      <c r="I10" s="108"/>
      <c r="J10" s="108"/>
      <c r="K10" s="108"/>
      <c r="L10" s="108"/>
      <c r="M10" s="108"/>
      <c r="N10" s="108"/>
      <c r="O10" s="108"/>
    </row>
    <row r="11" spans="1:15" s="107" customFormat="1" ht="12" customHeight="1" hidden="1">
      <c r="A11" s="108"/>
      <c r="B11" s="108"/>
      <c r="C11" s="109"/>
      <c r="D11" s="108"/>
      <c r="E11" s="109"/>
      <c r="F11" s="108"/>
      <c r="G11" s="110"/>
      <c r="H11" s="108"/>
      <c r="I11" s="108"/>
      <c r="J11" s="108"/>
      <c r="K11" s="108"/>
      <c r="L11" s="108"/>
      <c r="M11" s="108"/>
      <c r="N11" s="108"/>
      <c r="O11" s="108"/>
    </row>
    <row r="12" spans="1:15" s="107" customFormat="1" ht="12" customHeight="1" hidden="1">
      <c r="A12" s="108"/>
      <c r="B12" s="108"/>
      <c r="C12" s="109"/>
      <c r="D12" s="108"/>
      <c r="E12" s="109"/>
      <c r="F12" s="108"/>
      <c r="G12" s="110"/>
      <c r="H12" s="108"/>
      <c r="I12" s="108"/>
      <c r="J12" s="108"/>
      <c r="K12" s="108"/>
      <c r="L12" s="108"/>
      <c r="M12" s="108"/>
      <c r="N12" s="108"/>
      <c r="O12" s="108"/>
    </row>
    <row r="13" spans="1:15" s="107" customFormat="1" ht="12">
      <c r="A13" s="108">
        <v>1</v>
      </c>
      <c r="B13" s="108">
        <v>2</v>
      </c>
      <c r="C13" s="111" t="s">
        <v>140</v>
      </c>
      <c r="D13" s="108">
        <v>4</v>
      </c>
      <c r="E13" s="111" t="s">
        <v>141</v>
      </c>
      <c r="F13" s="108">
        <v>6</v>
      </c>
      <c r="G13" s="111" t="s">
        <v>142</v>
      </c>
      <c r="H13" s="108">
        <v>8</v>
      </c>
      <c r="I13" s="108">
        <v>9</v>
      </c>
      <c r="J13" s="111" t="s">
        <v>143</v>
      </c>
      <c r="K13" s="108">
        <v>10</v>
      </c>
      <c r="L13" s="108">
        <v>7</v>
      </c>
      <c r="M13" s="108">
        <v>8</v>
      </c>
      <c r="N13" s="108">
        <v>11</v>
      </c>
      <c r="O13" s="108">
        <v>10</v>
      </c>
    </row>
    <row r="14" spans="1:15" s="103" customFormat="1" ht="12.75">
      <c r="A14" s="112" t="s">
        <v>144</v>
      </c>
      <c r="B14" s="113" t="s">
        <v>145</v>
      </c>
      <c r="C14" s="113" t="s">
        <v>146</v>
      </c>
      <c r="D14" s="114" t="s">
        <v>146</v>
      </c>
      <c r="E14" s="114" t="s">
        <v>146</v>
      </c>
      <c r="F14" s="114" t="s">
        <v>146</v>
      </c>
      <c r="G14" s="114" t="s">
        <v>146</v>
      </c>
      <c r="H14" s="115">
        <f>H15+H20+H26</f>
        <v>18227149</v>
      </c>
      <c r="I14" s="115">
        <f>I20</f>
        <v>16509300</v>
      </c>
      <c r="J14" s="115"/>
      <c r="K14" s="115">
        <f>K26</f>
        <v>368999</v>
      </c>
      <c r="L14" s="116" t="s">
        <v>146</v>
      </c>
      <c r="M14" s="116" t="s">
        <v>146</v>
      </c>
      <c r="N14" s="115">
        <f>N15</f>
        <v>1348850</v>
      </c>
      <c r="O14" s="117" t="s">
        <v>146</v>
      </c>
    </row>
    <row r="15" spans="1:15" s="103" customFormat="1" ht="12.75">
      <c r="A15" s="118" t="s">
        <v>147</v>
      </c>
      <c r="B15" s="392" t="s">
        <v>148</v>
      </c>
      <c r="C15" s="120" t="s">
        <v>146</v>
      </c>
      <c r="D15" s="120" t="s">
        <v>146</v>
      </c>
      <c r="E15" s="120" t="s">
        <v>146</v>
      </c>
      <c r="F15" s="120" t="s">
        <v>146</v>
      </c>
      <c r="G15" s="120" t="s">
        <v>146</v>
      </c>
      <c r="H15" s="121">
        <f>N15</f>
        <v>1348850</v>
      </c>
      <c r="I15" s="122" t="s">
        <v>146</v>
      </c>
      <c r="J15" s="122"/>
      <c r="K15" s="122" t="s">
        <v>146</v>
      </c>
      <c r="L15" s="122" t="s">
        <v>146</v>
      </c>
      <c r="M15" s="122" t="s">
        <v>146</v>
      </c>
      <c r="N15" s="121">
        <f>N17+N19+N18+N16</f>
        <v>1348850</v>
      </c>
      <c r="O15" s="120" t="s">
        <v>146</v>
      </c>
    </row>
    <row r="16" spans="1:15" s="103" customFormat="1" ht="12.75">
      <c r="A16" s="118" t="s">
        <v>227</v>
      </c>
      <c r="B16" s="393"/>
      <c r="C16" s="395" t="s">
        <v>76</v>
      </c>
      <c r="D16" s="124" t="s">
        <v>150</v>
      </c>
      <c r="E16" s="120"/>
      <c r="F16" s="120">
        <v>121</v>
      </c>
      <c r="G16" s="120"/>
      <c r="H16" s="121">
        <f>N16</f>
        <v>0</v>
      </c>
      <c r="I16" s="122" t="s">
        <v>146</v>
      </c>
      <c r="J16" s="122"/>
      <c r="K16" s="122" t="s">
        <v>146</v>
      </c>
      <c r="L16" s="122"/>
      <c r="M16" s="122"/>
      <c r="N16" s="121">
        <v>0</v>
      </c>
      <c r="O16" s="120"/>
    </row>
    <row r="17" spans="1:15" s="103" customFormat="1" ht="25.5">
      <c r="A17" s="123" t="s">
        <v>149</v>
      </c>
      <c r="B17" s="393"/>
      <c r="C17" s="396"/>
      <c r="D17" s="124" t="s">
        <v>150</v>
      </c>
      <c r="E17" s="124"/>
      <c r="F17" s="124" t="s">
        <v>334</v>
      </c>
      <c r="G17" s="124"/>
      <c r="H17" s="121">
        <f>N17</f>
        <v>276500</v>
      </c>
      <c r="I17" s="122" t="s">
        <v>146</v>
      </c>
      <c r="J17" s="122"/>
      <c r="K17" s="122" t="s">
        <v>146</v>
      </c>
      <c r="L17" s="122" t="s">
        <v>146</v>
      </c>
      <c r="M17" s="122" t="s">
        <v>146</v>
      </c>
      <c r="N17" s="121">
        <f>1276500-1000000</f>
        <v>276500</v>
      </c>
      <c r="O17" s="120" t="s">
        <v>146</v>
      </c>
    </row>
    <row r="18" spans="1:15" s="103" customFormat="1" ht="12.75">
      <c r="A18" s="123" t="s">
        <v>230</v>
      </c>
      <c r="B18" s="393"/>
      <c r="C18" s="396"/>
      <c r="D18" s="124" t="s">
        <v>150</v>
      </c>
      <c r="E18" s="124"/>
      <c r="F18" s="124" t="s">
        <v>334</v>
      </c>
      <c r="G18" s="124"/>
      <c r="H18" s="121">
        <f>N18</f>
        <v>67350</v>
      </c>
      <c r="I18" s="122" t="s">
        <v>146</v>
      </c>
      <c r="J18" s="122"/>
      <c r="K18" s="122" t="s">
        <v>146</v>
      </c>
      <c r="L18" s="122"/>
      <c r="M18" s="122"/>
      <c r="N18" s="121">
        <v>67350</v>
      </c>
      <c r="O18" s="120"/>
    </row>
    <row r="19" spans="1:15" s="103" customFormat="1" ht="25.5">
      <c r="A19" s="123" t="s">
        <v>152</v>
      </c>
      <c r="B19" s="394"/>
      <c r="C19" s="397"/>
      <c r="D19" s="124" t="s">
        <v>150</v>
      </c>
      <c r="E19" s="124"/>
      <c r="F19" s="124" t="s">
        <v>332</v>
      </c>
      <c r="G19" s="124"/>
      <c r="H19" s="121">
        <f>N19</f>
        <v>1005000</v>
      </c>
      <c r="I19" s="122" t="s">
        <v>146</v>
      </c>
      <c r="J19" s="122"/>
      <c r="K19" s="122" t="s">
        <v>146</v>
      </c>
      <c r="L19" s="122" t="s">
        <v>146</v>
      </c>
      <c r="M19" s="122" t="s">
        <v>146</v>
      </c>
      <c r="N19" s="121">
        <f>5000+1000000</f>
        <v>1005000</v>
      </c>
      <c r="O19" s="120" t="s">
        <v>146</v>
      </c>
    </row>
    <row r="20" spans="1:15" s="103" customFormat="1" ht="12.75">
      <c r="A20" s="123" t="s">
        <v>154</v>
      </c>
      <c r="B20" s="398" t="s">
        <v>155</v>
      </c>
      <c r="C20" s="120" t="s">
        <v>146</v>
      </c>
      <c r="D20" s="120" t="s">
        <v>146</v>
      </c>
      <c r="E20" s="120" t="s">
        <v>146</v>
      </c>
      <c r="F20" s="120" t="s">
        <v>146</v>
      </c>
      <c r="G20" s="120" t="s">
        <v>146</v>
      </c>
      <c r="H20" s="121">
        <f>SUM(H21:H23)</f>
        <v>16509300</v>
      </c>
      <c r="I20" s="121">
        <f>I21+I22+I23</f>
        <v>16509300</v>
      </c>
      <c r="J20" s="384"/>
      <c r="K20" s="125" t="s">
        <v>146</v>
      </c>
      <c r="L20" s="122" t="s">
        <v>146</v>
      </c>
      <c r="M20" s="122" t="s">
        <v>146</v>
      </c>
      <c r="N20" s="125" t="s">
        <v>146</v>
      </c>
      <c r="O20" s="120" t="s">
        <v>146</v>
      </c>
    </row>
    <row r="21" spans="1:16" s="103" customFormat="1" ht="12.75">
      <c r="A21" s="399" t="s">
        <v>83</v>
      </c>
      <c r="B21" s="398"/>
      <c r="C21" s="401" t="s">
        <v>47</v>
      </c>
      <c r="D21" s="124" t="s">
        <v>150</v>
      </c>
      <c r="E21" s="359"/>
      <c r="F21" s="386">
        <v>131</v>
      </c>
      <c r="G21" s="390"/>
      <c r="H21" s="121">
        <f>I21</f>
        <v>11801800</v>
      </c>
      <c r="I21" s="121">
        <v>11801800</v>
      </c>
      <c r="J21" s="385"/>
      <c r="K21" s="125" t="s">
        <v>146</v>
      </c>
      <c r="L21" s="122" t="s">
        <v>146</v>
      </c>
      <c r="M21" s="122" t="s">
        <v>146</v>
      </c>
      <c r="N21" s="125" t="s">
        <v>146</v>
      </c>
      <c r="O21" s="120" t="s">
        <v>146</v>
      </c>
      <c r="P21" s="126"/>
    </row>
    <row r="22" spans="1:16" s="103" customFormat="1" ht="12.75">
      <c r="A22" s="400"/>
      <c r="B22" s="398"/>
      <c r="C22" s="402"/>
      <c r="D22" s="120" t="s">
        <v>156</v>
      </c>
      <c r="E22" s="326"/>
      <c r="F22" s="387"/>
      <c r="G22" s="391"/>
      <c r="H22" s="121">
        <f>I22</f>
        <v>4056100</v>
      </c>
      <c r="I22" s="121">
        <v>4056100</v>
      </c>
      <c r="J22" s="121"/>
      <c r="K22" s="125" t="s">
        <v>146</v>
      </c>
      <c r="L22" s="122" t="s">
        <v>146</v>
      </c>
      <c r="M22" s="122" t="s">
        <v>146</v>
      </c>
      <c r="N22" s="125" t="s">
        <v>146</v>
      </c>
      <c r="O22" s="120"/>
      <c r="P22" s="126"/>
    </row>
    <row r="23" spans="1:15" s="103" customFormat="1" ht="25.5">
      <c r="A23" s="123" t="s">
        <v>157</v>
      </c>
      <c r="B23" s="398"/>
      <c r="C23" s="127" t="s">
        <v>53</v>
      </c>
      <c r="D23" s="124" t="s">
        <v>150</v>
      </c>
      <c r="E23" s="128"/>
      <c r="F23" s="120">
        <v>131</v>
      </c>
      <c r="G23" s="124"/>
      <c r="H23" s="121">
        <f>I23</f>
        <v>651400</v>
      </c>
      <c r="I23" s="121">
        <v>651400</v>
      </c>
      <c r="J23" s="121"/>
      <c r="K23" s="125" t="s">
        <v>146</v>
      </c>
      <c r="L23" s="122" t="s">
        <v>146</v>
      </c>
      <c r="M23" s="122" t="s">
        <v>146</v>
      </c>
      <c r="N23" s="125" t="s">
        <v>146</v>
      </c>
      <c r="O23" s="120" t="s">
        <v>146</v>
      </c>
    </row>
    <row r="24" spans="1:15" s="103" customFormat="1" ht="36.75" customHeight="1" hidden="1">
      <c r="A24" s="123" t="s">
        <v>158</v>
      </c>
      <c r="B24" s="119" t="s">
        <v>151</v>
      </c>
      <c r="C24" s="124"/>
      <c r="D24" s="128"/>
      <c r="E24" s="124"/>
      <c r="F24" s="128"/>
      <c r="G24" s="124"/>
      <c r="H24" s="121"/>
      <c r="I24" s="122" t="s">
        <v>146</v>
      </c>
      <c r="J24" s="121"/>
      <c r="K24" s="122" t="s">
        <v>146</v>
      </c>
      <c r="L24" s="122" t="s">
        <v>146</v>
      </c>
      <c r="M24" s="122" t="s">
        <v>146</v>
      </c>
      <c r="N24" s="121"/>
      <c r="O24" s="120" t="s">
        <v>146</v>
      </c>
    </row>
    <row r="25" spans="1:15" s="103" customFormat="1" ht="69" customHeight="1" hidden="1">
      <c r="A25" s="123" t="s">
        <v>159</v>
      </c>
      <c r="B25" s="119" t="s">
        <v>160</v>
      </c>
      <c r="C25" s="124"/>
      <c r="D25" s="128"/>
      <c r="E25" s="124"/>
      <c r="F25" s="128"/>
      <c r="G25" s="124"/>
      <c r="H25" s="121"/>
      <c r="I25" s="122" t="s">
        <v>146</v>
      </c>
      <c r="J25" s="121"/>
      <c r="K25" s="122" t="s">
        <v>146</v>
      </c>
      <c r="L25" s="122" t="s">
        <v>146</v>
      </c>
      <c r="M25" s="122" t="s">
        <v>146</v>
      </c>
      <c r="N25" s="121"/>
      <c r="O25" s="120" t="s">
        <v>146</v>
      </c>
    </row>
    <row r="26" spans="1:15" s="103" customFormat="1" ht="25.5">
      <c r="A26" s="170" t="s">
        <v>161</v>
      </c>
      <c r="B26" s="127" t="s">
        <v>162</v>
      </c>
      <c r="C26" s="124"/>
      <c r="D26" s="124"/>
      <c r="E26" s="141"/>
      <c r="F26" s="171"/>
      <c r="G26" s="141"/>
      <c r="H26" s="172">
        <f>K26</f>
        <v>368999</v>
      </c>
      <c r="I26" s="173" t="s">
        <v>146</v>
      </c>
      <c r="J26" s="172"/>
      <c r="K26" s="173">
        <f>K32+K31+K30</f>
        <v>368999</v>
      </c>
      <c r="L26" s="173" t="s">
        <v>146</v>
      </c>
      <c r="M26" s="173" t="s">
        <v>146</v>
      </c>
      <c r="N26" s="173" t="s">
        <v>146</v>
      </c>
      <c r="O26" s="120" t="s">
        <v>146</v>
      </c>
    </row>
    <row r="27" spans="1:15" s="103" customFormat="1" ht="12.75" hidden="1">
      <c r="A27" s="129" t="s">
        <v>163</v>
      </c>
      <c r="B27" s="130" t="s">
        <v>164</v>
      </c>
      <c r="C27" s="131"/>
      <c r="D27" s="132"/>
      <c r="E27" s="131"/>
      <c r="F27" s="132"/>
      <c r="G27" s="131"/>
      <c r="H27" s="133"/>
      <c r="I27" s="134" t="s">
        <v>146</v>
      </c>
      <c r="J27" s="133"/>
      <c r="K27" s="134" t="s">
        <v>146</v>
      </c>
      <c r="L27" s="134" t="s">
        <v>146</v>
      </c>
      <c r="M27" s="134" t="s">
        <v>146</v>
      </c>
      <c r="N27" s="133"/>
      <c r="O27" s="135"/>
    </row>
    <row r="28" spans="1:15" s="103" customFormat="1" ht="12.75" hidden="1">
      <c r="A28" s="129" t="s">
        <v>165</v>
      </c>
      <c r="B28" s="130" t="s">
        <v>153</v>
      </c>
      <c r="C28" s="131"/>
      <c r="D28" s="131"/>
      <c r="E28" s="131"/>
      <c r="F28" s="131" t="s">
        <v>146</v>
      </c>
      <c r="G28" s="131"/>
      <c r="H28" s="133"/>
      <c r="I28" s="134" t="s">
        <v>146</v>
      </c>
      <c r="J28" s="133"/>
      <c r="K28" s="134" t="s">
        <v>146</v>
      </c>
      <c r="L28" s="134" t="s">
        <v>146</v>
      </c>
      <c r="M28" s="134" t="s">
        <v>146</v>
      </c>
      <c r="N28" s="133"/>
      <c r="O28" s="117" t="s">
        <v>146</v>
      </c>
    </row>
    <row r="29" spans="1:15" s="103" customFormat="1" ht="12.75" hidden="1">
      <c r="A29" s="129"/>
      <c r="B29" s="131"/>
      <c r="C29" s="131"/>
      <c r="D29" s="132"/>
      <c r="E29" s="131"/>
      <c r="F29" s="132"/>
      <c r="G29" s="131"/>
      <c r="H29" s="133"/>
      <c r="I29" s="133"/>
      <c r="J29" s="133"/>
      <c r="K29" s="133"/>
      <c r="L29" s="133"/>
      <c r="M29" s="133"/>
      <c r="N29" s="133"/>
      <c r="O29" s="135"/>
    </row>
    <row r="30" spans="1:15" s="140" customFormat="1" ht="29.25" customHeight="1">
      <c r="A30" s="123" t="s">
        <v>317</v>
      </c>
      <c r="B30" s="124"/>
      <c r="C30" s="124" t="s">
        <v>275</v>
      </c>
      <c r="D30" s="124" t="s">
        <v>150</v>
      </c>
      <c r="E30" s="124"/>
      <c r="F30" s="128" t="s">
        <v>337</v>
      </c>
      <c r="G30" s="124"/>
      <c r="H30" s="121">
        <f>K30</f>
        <v>245000</v>
      </c>
      <c r="I30" s="121"/>
      <c r="J30" s="121"/>
      <c r="K30" s="121">
        <f>170000+75000</f>
        <v>245000</v>
      </c>
      <c r="L30" s="121"/>
      <c r="M30" s="121"/>
      <c r="N30" s="121"/>
      <c r="O30" s="143"/>
    </row>
    <row r="31" spans="1:15" s="140" customFormat="1" ht="40.5" customHeight="1">
      <c r="A31" s="123" t="s">
        <v>112</v>
      </c>
      <c r="B31" s="124"/>
      <c r="C31" s="124" t="s">
        <v>97</v>
      </c>
      <c r="D31" s="124" t="s">
        <v>338</v>
      </c>
      <c r="E31" s="124"/>
      <c r="F31" s="128" t="s">
        <v>337</v>
      </c>
      <c r="G31" s="124"/>
      <c r="H31" s="121">
        <f>K31</f>
        <v>100000</v>
      </c>
      <c r="I31" s="122"/>
      <c r="J31" s="121"/>
      <c r="K31" s="121">
        <v>100000</v>
      </c>
      <c r="L31" s="121"/>
      <c r="M31" s="121"/>
      <c r="N31" s="122"/>
      <c r="O31" s="143"/>
    </row>
    <row r="32" spans="1:15" s="103" customFormat="1" ht="33.75" customHeight="1">
      <c r="A32" s="123" t="s">
        <v>237</v>
      </c>
      <c r="B32" s="124"/>
      <c r="C32" s="124" t="s">
        <v>78</v>
      </c>
      <c r="D32" s="124" t="s">
        <v>150</v>
      </c>
      <c r="E32" s="124"/>
      <c r="F32" s="128" t="s">
        <v>337</v>
      </c>
      <c r="G32" s="124"/>
      <c r="H32" s="121">
        <f>K32</f>
        <v>23999</v>
      </c>
      <c r="I32" s="121"/>
      <c r="J32" s="121"/>
      <c r="K32" s="121">
        <f>21508+2491</f>
        <v>23999</v>
      </c>
      <c r="L32" s="121"/>
      <c r="M32" s="121"/>
      <c r="N32" s="121"/>
      <c r="O32" s="135"/>
    </row>
    <row r="33" spans="1:15" s="140" customFormat="1" ht="12.75">
      <c r="A33" s="136" t="s">
        <v>166</v>
      </c>
      <c r="B33" s="137" t="s">
        <v>167</v>
      </c>
      <c r="C33" s="137" t="s">
        <v>146</v>
      </c>
      <c r="D33" s="137" t="s">
        <v>146</v>
      </c>
      <c r="E33" s="137" t="s">
        <v>146</v>
      </c>
      <c r="F33" s="137" t="s">
        <v>146</v>
      </c>
      <c r="G33" s="137" t="s">
        <v>146</v>
      </c>
      <c r="H33" s="138">
        <f>I33+N33+K33</f>
        <v>18245935.17</v>
      </c>
      <c r="I33" s="138">
        <f>I57+I75+I91</f>
        <v>16509300</v>
      </c>
      <c r="J33" s="138"/>
      <c r="K33" s="138">
        <f>K110+K108+K106</f>
        <v>368999</v>
      </c>
      <c r="L33" s="138"/>
      <c r="M33" s="138"/>
      <c r="N33" s="138">
        <f>N114</f>
        <v>1367636.17</v>
      </c>
      <c r="O33" s="139"/>
    </row>
    <row r="34" spans="1:15" s="140" customFormat="1" ht="12.75">
      <c r="A34" s="123" t="s">
        <v>168</v>
      </c>
      <c r="B34" s="124" t="s">
        <v>169</v>
      </c>
      <c r="C34" s="141" t="s">
        <v>146</v>
      </c>
      <c r="D34" s="141" t="s">
        <v>146</v>
      </c>
      <c r="E34" s="141" t="s">
        <v>146</v>
      </c>
      <c r="F34" s="141" t="s">
        <v>146</v>
      </c>
      <c r="G34" s="141" t="s">
        <v>146</v>
      </c>
      <c r="H34" s="121">
        <f>I34+N34</f>
        <v>12612300</v>
      </c>
      <c r="I34" s="121">
        <f>I58+I59+I60</f>
        <v>11987300</v>
      </c>
      <c r="J34" s="121"/>
      <c r="K34" s="121">
        <v>0</v>
      </c>
      <c r="L34" s="121"/>
      <c r="M34" s="121"/>
      <c r="N34" s="121">
        <f>N115+N116</f>
        <v>625000</v>
      </c>
      <c r="O34" s="120" t="s">
        <v>146</v>
      </c>
    </row>
    <row r="35" spans="1:15" s="140" customFormat="1" ht="25.5">
      <c r="A35" s="142" t="s">
        <v>170</v>
      </c>
      <c r="B35" s="124" t="s">
        <v>171</v>
      </c>
      <c r="C35" s="141" t="s">
        <v>146</v>
      </c>
      <c r="D35" s="141" t="s">
        <v>146</v>
      </c>
      <c r="E35" s="141" t="s">
        <v>146</v>
      </c>
      <c r="F35" s="141" t="s">
        <v>146</v>
      </c>
      <c r="G35" s="141" t="s">
        <v>146</v>
      </c>
      <c r="H35" s="121">
        <f>I35+N35</f>
        <v>16320500</v>
      </c>
      <c r="I35" s="121">
        <f>I58+I59+I61+I62</f>
        <v>15605500</v>
      </c>
      <c r="J35" s="121"/>
      <c r="K35" s="121">
        <v>0</v>
      </c>
      <c r="L35" s="121"/>
      <c r="M35" s="121"/>
      <c r="N35" s="121">
        <f>N115+N117</f>
        <v>715000</v>
      </c>
      <c r="O35" s="120" t="s">
        <v>146</v>
      </c>
    </row>
    <row r="36" spans="1:15" s="140" customFormat="1" ht="9.75" customHeight="1">
      <c r="A36" s="123" t="s">
        <v>172</v>
      </c>
      <c r="B36" s="124" t="s">
        <v>173</v>
      </c>
      <c r="C36" s="141" t="s">
        <v>146</v>
      </c>
      <c r="D36" s="141" t="s">
        <v>146</v>
      </c>
      <c r="E36" s="141" t="s">
        <v>146</v>
      </c>
      <c r="F36" s="141" t="s">
        <v>146</v>
      </c>
      <c r="G36" s="141" t="s">
        <v>146</v>
      </c>
      <c r="H36" s="121"/>
      <c r="I36" s="121"/>
      <c r="J36" s="121"/>
      <c r="K36" s="121">
        <v>0</v>
      </c>
      <c r="L36" s="121"/>
      <c r="M36" s="121"/>
      <c r="N36" s="121"/>
      <c r="O36" s="120" t="s">
        <v>146</v>
      </c>
    </row>
    <row r="37" spans="1:15" s="140" customFormat="1" ht="25.5">
      <c r="A37" s="123" t="s">
        <v>174</v>
      </c>
      <c r="B37" s="124" t="s">
        <v>175</v>
      </c>
      <c r="C37" s="141" t="s">
        <v>146</v>
      </c>
      <c r="D37" s="141" t="s">
        <v>146</v>
      </c>
      <c r="E37" s="141" t="s">
        <v>146</v>
      </c>
      <c r="F37" s="141" t="s">
        <v>146</v>
      </c>
      <c r="G37" s="141" t="s">
        <v>146</v>
      </c>
      <c r="H37" s="121">
        <f>I37+N37</f>
        <v>9500</v>
      </c>
      <c r="I37" s="121">
        <f>I87+I88</f>
        <v>7500</v>
      </c>
      <c r="J37" s="121"/>
      <c r="K37" s="121">
        <v>0</v>
      </c>
      <c r="L37" s="121"/>
      <c r="M37" s="121"/>
      <c r="N37" s="121">
        <f>N127</f>
        <v>2000</v>
      </c>
      <c r="O37" s="120" t="s">
        <v>146</v>
      </c>
    </row>
    <row r="38" spans="1:15" s="140" customFormat="1" ht="13.5" customHeight="1" hidden="1">
      <c r="A38" s="123" t="s">
        <v>176</v>
      </c>
      <c r="B38" s="124" t="s">
        <v>177</v>
      </c>
      <c r="C38" s="141" t="s">
        <v>146</v>
      </c>
      <c r="D38" s="141" t="s">
        <v>146</v>
      </c>
      <c r="E38" s="141" t="s">
        <v>146</v>
      </c>
      <c r="F38" s="141" t="s">
        <v>146</v>
      </c>
      <c r="G38" s="141" t="s">
        <v>146</v>
      </c>
      <c r="H38" s="121"/>
      <c r="I38" s="121"/>
      <c r="J38" s="121"/>
      <c r="K38" s="121"/>
      <c r="L38" s="121"/>
      <c r="M38" s="121"/>
      <c r="N38" s="121"/>
      <c r="O38" s="143"/>
    </row>
    <row r="39" spans="1:15" s="140" customFormat="1" ht="12.75" hidden="1">
      <c r="A39" s="144"/>
      <c r="B39" s="124"/>
      <c r="C39" s="124"/>
      <c r="D39" s="124"/>
      <c r="E39" s="124"/>
      <c r="F39" s="124"/>
      <c r="G39" s="124"/>
      <c r="H39" s="121"/>
      <c r="I39" s="121"/>
      <c r="J39" s="121"/>
      <c r="K39" s="121"/>
      <c r="L39" s="121"/>
      <c r="M39" s="121"/>
      <c r="N39" s="121"/>
      <c r="O39" s="143"/>
    </row>
    <row r="40" spans="1:15" s="140" customFormat="1" ht="12.75" hidden="1">
      <c r="A40" s="144"/>
      <c r="B40" s="124"/>
      <c r="C40" s="124"/>
      <c r="D40" s="124"/>
      <c r="E40" s="124"/>
      <c r="F40" s="124"/>
      <c r="G40" s="124"/>
      <c r="H40" s="121"/>
      <c r="I40" s="121"/>
      <c r="J40" s="121"/>
      <c r="K40" s="121"/>
      <c r="L40" s="121"/>
      <c r="M40" s="121"/>
      <c r="N40" s="121"/>
      <c r="O40" s="143"/>
    </row>
    <row r="41" spans="1:15" s="140" customFormat="1" ht="12.75" hidden="1">
      <c r="A41" s="144"/>
      <c r="B41" s="124"/>
      <c r="C41" s="124"/>
      <c r="D41" s="124"/>
      <c r="E41" s="124"/>
      <c r="F41" s="124"/>
      <c r="G41" s="124"/>
      <c r="H41" s="121"/>
      <c r="I41" s="121"/>
      <c r="J41" s="121"/>
      <c r="K41" s="121"/>
      <c r="L41" s="121"/>
      <c r="M41" s="121"/>
      <c r="N41" s="121"/>
      <c r="O41" s="143"/>
    </row>
    <row r="42" spans="1:15" s="140" customFormat="1" ht="12.75" hidden="1">
      <c r="A42" s="145" t="s">
        <v>178</v>
      </c>
      <c r="B42" s="124"/>
      <c r="C42" s="124"/>
      <c r="D42" s="146"/>
      <c r="E42" s="124"/>
      <c r="F42" s="146"/>
      <c r="G42" s="124"/>
      <c r="H42" s="121"/>
      <c r="I42" s="121">
        <f>I43+I44+I45+I46+I47+I50+I51+I54+I56+I48</f>
        <v>12453200</v>
      </c>
      <c r="J42" s="121"/>
      <c r="K42" s="121"/>
      <c r="L42" s="121"/>
      <c r="M42" s="121"/>
      <c r="N42" s="121"/>
      <c r="O42" s="143"/>
    </row>
    <row r="43" spans="1:15" s="140" customFormat="1" ht="12.75" hidden="1">
      <c r="A43" s="142" t="s">
        <v>15</v>
      </c>
      <c r="B43" s="124"/>
      <c r="C43" s="124"/>
      <c r="D43" s="124"/>
      <c r="E43" s="124"/>
      <c r="F43" s="124" t="s">
        <v>171</v>
      </c>
      <c r="G43" s="124"/>
      <c r="H43" s="121"/>
      <c r="I43" s="121">
        <f>I58+I92</f>
        <v>8870500</v>
      </c>
      <c r="J43" s="121"/>
      <c r="K43" s="121"/>
      <c r="L43" s="121"/>
      <c r="M43" s="121"/>
      <c r="N43" s="121"/>
      <c r="O43" s="143"/>
    </row>
    <row r="44" spans="1:15" s="140" customFormat="1" ht="12.75" hidden="1">
      <c r="A44" s="142" t="s">
        <v>16</v>
      </c>
      <c r="B44" s="124"/>
      <c r="C44" s="124"/>
      <c r="D44" s="124"/>
      <c r="E44" s="124"/>
      <c r="F44" s="124" t="s">
        <v>179</v>
      </c>
      <c r="G44" s="124"/>
      <c r="H44" s="121"/>
      <c r="I44" s="121">
        <f>I60</f>
        <v>1500</v>
      </c>
      <c r="J44" s="121"/>
      <c r="K44" s="121"/>
      <c r="L44" s="121"/>
      <c r="M44" s="121"/>
      <c r="N44" s="121"/>
      <c r="O44" s="143"/>
    </row>
    <row r="45" spans="1:15" s="140" customFormat="1" ht="12.75" hidden="1">
      <c r="A45" s="142" t="s">
        <v>17</v>
      </c>
      <c r="B45" s="124"/>
      <c r="C45" s="124"/>
      <c r="D45" s="124"/>
      <c r="E45" s="124"/>
      <c r="F45" s="124" t="s">
        <v>180</v>
      </c>
      <c r="G45" s="124"/>
      <c r="H45" s="121"/>
      <c r="I45" s="121">
        <f>I61+I94</f>
        <v>2678900</v>
      </c>
      <c r="J45" s="121"/>
      <c r="K45" s="121"/>
      <c r="L45" s="121"/>
      <c r="M45" s="121"/>
      <c r="N45" s="121"/>
      <c r="O45" s="143"/>
    </row>
    <row r="46" spans="1:15" s="140" customFormat="1" ht="12.75" hidden="1">
      <c r="A46" s="142" t="s">
        <v>18</v>
      </c>
      <c r="B46" s="124"/>
      <c r="C46" s="124"/>
      <c r="D46" s="124"/>
      <c r="E46" s="124"/>
      <c r="F46" s="124" t="s">
        <v>181</v>
      </c>
      <c r="G46" s="124"/>
      <c r="H46" s="121"/>
      <c r="I46" s="121">
        <f>I63</f>
        <v>25000</v>
      </c>
      <c r="J46" s="121"/>
      <c r="K46" s="121"/>
      <c r="L46" s="121"/>
      <c r="M46" s="121"/>
      <c r="N46" s="121"/>
      <c r="O46" s="143"/>
    </row>
    <row r="47" spans="1:15" s="140" customFormat="1" ht="12.75" hidden="1">
      <c r="A47" s="142" t="s">
        <v>19</v>
      </c>
      <c r="B47" s="124"/>
      <c r="C47" s="124"/>
      <c r="D47" s="124"/>
      <c r="E47" s="124"/>
      <c r="F47" s="124" t="s">
        <v>182</v>
      </c>
      <c r="G47" s="124"/>
      <c r="H47" s="121"/>
      <c r="I47" s="121">
        <f>I64</f>
        <v>25000</v>
      </c>
      <c r="J47" s="121"/>
      <c r="K47" s="121"/>
      <c r="L47" s="121"/>
      <c r="M47" s="121"/>
      <c r="N47" s="121"/>
      <c r="O47" s="143"/>
    </row>
    <row r="48" spans="1:15" s="140" customFormat="1" ht="12.75" hidden="1">
      <c r="A48" s="142" t="s">
        <v>20</v>
      </c>
      <c r="B48" s="124"/>
      <c r="C48" s="124"/>
      <c r="D48" s="124"/>
      <c r="E48" s="124"/>
      <c r="F48" s="124" t="s">
        <v>183</v>
      </c>
      <c r="G48" s="124"/>
      <c r="H48" s="121"/>
      <c r="I48" s="121">
        <f>I81</f>
        <v>314400</v>
      </c>
      <c r="J48" s="121"/>
      <c r="K48" s="121"/>
      <c r="L48" s="121"/>
      <c r="M48" s="121"/>
      <c r="N48" s="121"/>
      <c r="O48" s="143"/>
    </row>
    <row r="49" spans="1:15" s="140" customFormat="1" ht="25.5" hidden="1">
      <c r="A49" s="142" t="s">
        <v>21</v>
      </c>
      <c r="B49" s="124"/>
      <c r="C49" s="124"/>
      <c r="D49" s="124"/>
      <c r="E49" s="124"/>
      <c r="F49" s="124"/>
      <c r="G49" s="124"/>
      <c r="H49" s="121"/>
      <c r="I49" s="121"/>
      <c r="J49" s="121"/>
      <c r="K49" s="121"/>
      <c r="L49" s="121"/>
      <c r="M49" s="121"/>
      <c r="N49" s="121"/>
      <c r="O49" s="143"/>
    </row>
    <row r="50" spans="1:15" s="140" customFormat="1" ht="12.75" hidden="1">
      <c r="A50" s="142" t="s">
        <v>22</v>
      </c>
      <c r="B50" s="124"/>
      <c r="C50" s="124"/>
      <c r="D50" s="124"/>
      <c r="E50" s="124"/>
      <c r="F50" s="124" t="s">
        <v>184</v>
      </c>
      <c r="G50" s="124"/>
      <c r="H50" s="121"/>
      <c r="I50" s="121">
        <f>I83</f>
        <v>127500</v>
      </c>
      <c r="J50" s="121"/>
      <c r="K50" s="121"/>
      <c r="L50" s="121"/>
      <c r="M50" s="121"/>
      <c r="N50" s="121"/>
      <c r="O50" s="143"/>
    </row>
    <row r="51" spans="1:15" s="140" customFormat="1" ht="12.75" hidden="1">
      <c r="A51" s="142" t="s">
        <v>23</v>
      </c>
      <c r="B51" s="124"/>
      <c r="C51" s="124"/>
      <c r="D51" s="124"/>
      <c r="E51" s="124"/>
      <c r="F51" s="124" t="s">
        <v>185</v>
      </c>
      <c r="G51" s="124"/>
      <c r="H51" s="121"/>
      <c r="I51" s="121">
        <f>I68+I84</f>
        <v>355400</v>
      </c>
      <c r="J51" s="121"/>
      <c r="K51" s="121"/>
      <c r="L51" s="121"/>
      <c r="M51" s="121"/>
      <c r="N51" s="121"/>
      <c r="O51" s="143"/>
    </row>
    <row r="52" spans="1:15" s="140" customFormat="1" ht="25.5" hidden="1">
      <c r="A52" s="142" t="s">
        <v>24</v>
      </c>
      <c r="B52" s="124"/>
      <c r="C52" s="124"/>
      <c r="D52" s="124"/>
      <c r="E52" s="124"/>
      <c r="F52" s="124"/>
      <c r="G52" s="124"/>
      <c r="H52" s="121"/>
      <c r="I52" s="121"/>
      <c r="J52" s="121"/>
      <c r="K52" s="121"/>
      <c r="L52" s="121"/>
      <c r="M52" s="121"/>
      <c r="N52" s="121"/>
      <c r="O52" s="143"/>
    </row>
    <row r="53" spans="1:15" s="140" customFormat="1" ht="12.75" hidden="1">
      <c r="A53" s="142" t="s">
        <v>25</v>
      </c>
      <c r="B53" s="124"/>
      <c r="C53" s="124"/>
      <c r="D53" s="124"/>
      <c r="E53" s="124"/>
      <c r="F53" s="124"/>
      <c r="G53" s="124"/>
      <c r="H53" s="121"/>
      <c r="I53" s="121"/>
      <c r="J53" s="121"/>
      <c r="K53" s="121"/>
      <c r="L53" s="121"/>
      <c r="M53" s="121"/>
      <c r="N53" s="121"/>
      <c r="O53" s="143"/>
    </row>
    <row r="54" spans="1:15" s="140" customFormat="1" ht="12.75" hidden="1">
      <c r="A54" s="142" t="s">
        <v>26</v>
      </c>
      <c r="B54" s="124"/>
      <c r="C54" s="124"/>
      <c r="D54" s="124"/>
      <c r="E54" s="124"/>
      <c r="F54" s="124" t="s">
        <v>186</v>
      </c>
      <c r="G54" s="124"/>
      <c r="H54" s="121"/>
      <c r="I54" s="121">
        <f>I72+I87+I88</f>
        <v>21500</v>
      </c>
      <c r="J54" s="121"/>
      <c r="K54" s="121"/>
      <c r="L54" s="121"/>
      <c r="M54" s="121"/>
      <c r="N54" s="121"/>
      <c r="O54" s="143"/>
    </row>
    <row r="55" spans="1:15" s="140" customFormat="1" ht="12.75" hidden="1">
      <c r="A55" s="142" t="s">
        <v>27</v>
      </c>
      <c r="B55" s="124"/>
      <c r="C55" s="124"/>
      <c r="D55" s="124"/>
      <c r="E55" s="124"/>
      <c r="F55" s="124" t="s">
        <v>187</v>
      </c>
      <c r="G55" s="124"/>
      <c r="H55" s="121"/>
      <c r="I55" s="121"/>
      <c r="J55" s="121"/>
      <c r="K55" s="121"/>
      <c r="L55" s="121"/>
      <c r="M55" s="121"/>
      <c r="N55" s="121"/>
      <c r="O55" s="143"/>
    </row>
    <row r="56" spans="1:15" s="140" customFormat="1" ht="25.5" hidden="1">
      <c r="A56" s="142" t="s">
        <v>28</v>
      </c>
      <c r="B56" s="124"/>
      <c r="C56" s="124"/>
      <c r="D56" s="124"/>
      <c r="E56" s="124"/>
      <c r="F56" s="124" t="s">
        <v>188</v>
      </c>
      <c r="G56" s="124"/>
      <c r="H56" s="121"/>
      <c r="I56" s="121">
        <f>I74+I90</f>
        <v>33500</v>
      </c>
      <c r="J56" s="121"/>
      <c r="K56" s="121"/>
      <c r="L56" s="121"/>
      <c r="M56" s="121"/>
      <c r="N56" s="121"/>
      <c r="O56" s="143"/>
    </row>
    <row r="57" spans="1:15" s="140" customFormat="1" ht="33.75" customHeight="1">
      <c r="A57" s="403" t="s">
        <v>189</v>
      </c>
      <c r="B57" s="404"/>
      <c r="C57" s="147" t="s">
        <v>47</v>
      </c>
      <c r="D57" s="131"/>
      <c r="E57" s="147"/>
      <c r="F57" s="131"/>
      <c r="G57" s="131"/>
      <c r="H57" s="148">
        <f>I57</f>
        <v>15857900</v>
      </c>
      <c r="I57" s="148">
        <f>I58+I60+I61+I63+I64+I68+I72+I74+I59+I62+I71</f>
        <v>15857900</v>
      </c>
      <c r="J57" s="133"/>
      <c r="K57" s="149" t="s">
        <v>190</v>
      </c>
      <c r="L57" s="149"/>
      <c r="M57" s="149"/>
      <c r="N57" s="149" t="s">
        <v>190</v>
      </c>
      <c r="O57" s="135"/>
    </row>
    <row r="58" spans="1:15" s="140" customFormat="1" ht="12.75">
      <c r="A58" s="399" t="s">
        <v>15</v>
      </c>
      <c r="B58" s="405"/>
      <c r="C58" s="392" t="s">
        <v>47</v>
      </c>
      <c r="D58" s="124" t="s">
        <v>150</v>
      </c>
      <c r="E58" s="392" t="s">
        <v>191</v>
      </c>
      <c r="F58" s="392" t="s">
        <v>171</v>
      </c>
      <c r="G58" s="392" t="s">
        <v>192</v>
      </c>
      <c r="H58" s="121">
        <f>I58</f>
        <v>8870500</v>
      </c>
      <c r="I58" s="121">
        <v>8870500</v>
      </c>
      <c r="J58" s="121"/>
      <c r="K58" s="125" t="s">
        <v>146</v>
      </c>
      <c r="L58" s="125" t="s">
        <v>146</v>
      </c>
      <c r="M58" s="125" t="s">
        <v>146</v>
      </c>
      <c r="N58" s="125" t="s">
        <v>146</v>
      </c>
      <c r="O58" s="119" t="s">
        <v>146</v>
      </c>
    </row>
    <row r="59" spans="1:15" s="140" customFormat="1" ht="12.75">
      <c r="A59" s="400"/>
      <c r="B59" s="406"/>
      <c r="C59" s="394"/>
      <c r="D59" s="120" t="s">
        <v>156</v>
      </c>
      <c r="E59" s="394"/>
      <c r="F59" s="394"/>
      <c r="G59" s="394"/>
      <c r="H59" s="121">
        <f>I59</f>
        <v>3115300</v>
      </c>
      <c r="I59" s="121">
        <v>3115300</v>
      </c>
      <c r="J59" s="121"/>
      <c r="K59" s="125" t="s">
        <v>146</v>
      </c>
      <c r="L59" s="125" t="s">
        <v>146</v>
      </c>
      <c r="M59" s="125" t="s">
        <v>146</v>
      </c>
      <c r="N59" s="125" t="s">
        <v>146</v>
      </c>
      <c r="O59" s="119"/>
    </row>
    <row r="60" spans="1:15" s="140" customFormat="1" ht="12.75">
      <c r="A60" s="142" t="s">
        <v>16</v>
      </c>
      <c r="B60" s="124"/>
      <c r="C60" s="124" t="s">
        <v>47</v>
      </c>
      <c r="D60" s="124" t="s">
        <v>150</v>
      </c>
      <c r="E60" s="124" t="s">
        <v>191</v>
      </c>
      <c r="F60" s="124" t="s">
        <v>179</v>
      </c>
      <c r="G60" s="124" t="s">
        <v>193</v>
      </c>
      <c r="H60" s="121">
        <f aca="true" t="shared" si="0" ref="H60:H74">I60</f>
        <v>1500</v>
      </c>
      <c r="I60" s="121">
        <v>1500</v>
      </c>
      <c r="J60" s="121"/>
      <c r="K60" s="125" t="s">
        <v>146</v>
      </c>
      <c r="L60" s="125" t="s">
        <v>146</v>
      </c>
      <c r="M60" s="125" t="s">
        <v>146</v>
      </c>
      <c r="N60" s="125" t="s">
        <v>146</v>
      </c>
      <c r="O60" s="119" t="s">
        <v>146</v>
      </c>
    </row>
    <row r="61" spans="1:15" s="140" customFormat="1" ht="12.75">
      <c r="A61" s="409" t="s">
        <v>17</v>
      </c>
      <c r="B61" s="405"/>
      <c r="C61" s="392" t="s">
        <v>47</v>
      </c>
      <c r="D61" s="124" t="s">
        <v>150</v>
      </c>
      <c r="E61" s="392" t="s">
        <v>191</v>
      </c>
      <c r="F61" s="392" t="s">
        <v>180</v>
      </c>
      <c r="G61" s="392" t="s">
        <v>194</v>
      </c>
      <c r="H61" s="121">
        <f t="shared" si="0"/>
        <v>2678900</v>
      </c>
      <c r="I61" s="121">
        <v>2678900</v>
      </c>
      <c r="J61" s="121"/>
      <c r="K61" s="125" t="s">
        <v>146</v>
      </c>
      <c r="L61" s="125" t="s">
        <v>146</v>
      </c>
      <c r="M61" s="125" t="s">
        <v>146</v>
      </c>
      <c r="N61" s="125" t="s">
        <v>146</v>
      </c>
      <c r="O61" s="119" t="s">
        <v>146</v>
      </c>
    </row>
    <row r="62" spans="1:15" s="140" customFormat="1" ht="12.75">
      <c r="A62" s="410"/>
      <c r="B62" s="406"/>
      <c r="C62" s="394"/>
      <c r="D62" s="120" t="s">
        <v>156</v>
      </c>
      <c r="E62" s="394"/>
      <c r="F62" s="394"/>
      <c r="G62" s="394"/>
      <c r="H62" s="121">
        <f t="shared" si="0"/>
        <v>940800</v>
      </c>
      <c r="I62" s="121">
        <v>940800</v>
      </c>
      <c r="J62" s="121"/>
      <c r="K62" s="125" t="s">
        <v>146</v>
      </c>
      <c r="L62" s="125" t="s">
        <v>146</v>
      </c>
      <c r="M62" s="125" t="s">
        <v>146</v>
      </c>
      <c r="N62" s="125" t="s">
        <v>146</v>
      </c>
      <c r="O62" s="119"/>
    </row>
    <row r="63" spans="1:15" s="140" customFormat="1" ht="12.75">
      <c r="A63" s="142" t="s">
        <v>18</v>
      </c>
      <c r="B63" s="124"/>
      <c r="C63" s="124" t="s">
        <v>47</v>
      </c>
      <c r="D63" s="124" t="s">
        <v>150</v>
      </c>
      <c r="E63" s="124" t="s">
        <v>191</v>
      </c>
      <c r="F63" s="124" t="s">
        <v>181</v>
      </c>
      <c r="G63" s="124" t="s">
        <v>195</v>
      </c>
      <c r="H63" s="121">
        <f t="shared" si="0"/>
        <v>25000</v>
      </c>
      <c r="I63" s="121">
        <v>25000</v>
      </c>
      <c r="J63" s="121"/>
      <c r="K63" s="125" t="s">
        <v>146</v>
      </c>
      <c r="L63" s="125" t="s">
        <v>146</v>
      </c>
      <c r="M63" s="125" t="s">
        <v>146</v>
      </c>
      <c r="N63" s="125" t="s">
        <v>146</v>
      </c>
      <c r="O63" s="119" t="s">
        <v>146</v>
      </c>
    </row>
    <row r="64" spans="1:15" s="140" customFormat="1" ht="12.75">
      <c r="A64" s="142" t="s">
        <v>19</v>
      </c>
      <c r="B64" s="124"/>
      <c r="C64" s="124" t="s">
        <v>47</v>
      </c>
      <c r="D64" s="124" t="s">
        <v>150</v>
      </c>
      <c r="E64" s="124" t="s">
        <v>191</v>
      </c>
      <c r="F64" s="124" t="s">
        <v>182</v>
      </c>
      <c r="G64" s="124" t="s">
        <v>195</v>
      </c>
      <c r="H64" s="121">
        <f t="shared" si="0"/>
        <v>25000</v>
      </c>
      <c r="I64" s="121">
        <v>25000</v>
      </c>
      <c r="J64" s="121"/>
      <c r="K64" s="125" t="s">
        <v>146</v>
      </c>
      <c r="L64" s="125" t="s">
        <v>146</v>
      </c>
      <c r="M64" s="125" t="s">
        <v>146</v>
      </c>
      <c r="N64" s="125" t="s">
        <v>146</v>
      </c>
      <c r="O64" s="119" t="s">
        <v>146</v>
      </c>
    </row>
    <row r="65" spans="1:15" s="140" customFormat="1" ht="12.75" hidden="1">
      <c r="A65" s="142" t="s">
        <v>20</v>
      </c>
      <c r="B65" s="124"/>
      <c r="C65" s="124" t="s">
        <v>47</v>
      </c>
      <c r="D65" s="124" t="s">
        <v>150</v>
      </c>
      <c r="E65" s="124" t="s">
        <v>191</v>
      </c>
      <c r="F65" s="124"/>
      <c r="G65" s="124"/>
      <c r="H65" s="121">
        <f t="shared" si="0"/>
        <v>0</v>
      </c>
      <c r="I65" s="121"/>
      <c r="J65" s="121"/>
      <c r="K65" s="125" t="s">
        <v>146</v>
      </c>
      <c r="L65" s="125" t="s">
        <v>146</v>
      </c>
      <c r="M65" s="125" t="s">
        <v>146</v>
      </c>
      <c r="N65" s="125" t="s">
        <v>146</v>
      </c>
      <c r="O65" s="119" t="s">
        <v>146</v>
      </c>
    </row>
    <row r="66" spans="1:15" s="140" customFormat="1" ht="25.5" hidden="1">
      <c r="A66" s="142" t="s">
        <v>21</v>
      </c>
      <c r="B66" s="124"/>
      <c r="C66" s="124" t="s">
        <v>47</v>
      </c>
      <c r="D66" s="124" t="s">
        <v>150</v>
      </c>
      <c r="E66" s="124" t="s">
        <v>191</v>
      </c>
      <c r="F66" s="124"/>
      <c r="G66" s="124"/>
      <c r="H66" s="121">
        <f t="shared" si="0"/>
        <v>0</v>
      </c>
      <c r="I66" s="121"/>
      <c r="J66" s="121"/>
      <c r="K66" s="125" t="s">
        <v>146</v>
      </c>
      <c r="L66" s="125" t="s">
        <v>146</v>
      </c>
      <c r="M66" s="125" t="s">
        <v>146</v>
      </c>
      <c r="N66" s="125" t="s">
        <v>146</v>
      </c>
      <c r="O66" s="119" t="s">
        <v>146</v>
      </c>
    </row>
    <row r="67" spans="1:15" s="140" customFormat="1" ht="12.75" hidden="1">
      <c r="A67" s="142" t="s">
        <v>22</v>
      </c>
      <c r="B67" s="124"/>
      <c r="C67" s="124" t="s">
        <v>47</v>
      </c>
      <c r="D67" s="124" t="s">
        <v>150</v>
      </c>
      <c r="E67" s="124" t="s">
        <v>191</v>
      </c>
      <c r="F67" s="124"/>
      <c r="G67" s="124"/>
      <c r="H67" s="121">
        <f t="shared" si="0"/>
        <v>0</v>
      </c>
      <c r="I67" s="121"/>
      <c r="J67" s="121"/>
      <c r="K67" s="125" t="s">
        <v>146</v>
      </c>
      <c r="L67" s="125" t="s">
        <v>146</v>
      </c>
      <c r="M67" s="125" t="s">
        <v>146</v>
      </c>
      <c r="N67" s="125" t="s">
        <v>146</v>
      </c>
      <c r="O67" s="119" t="s">
        <v>146</v>
      </c>
    </row>
    <row r="68" spans="1:15" s="140" customFormat="1" ht="12.75">
      <c r="A68" s="142" t="s">
        <v>23</v>
      </c>
      <c r="B68" s="124"/>
      <c r="C68" s="124" t="s">
        <v>47</v>
      </c>
      <c r="D68" s="124" t="s">
        <v>150</v>
      </c>
      <c r="E68" s="124" t="s">
        <v>191</v>
      </c>
      <c r="F68" s="124" t="s">
        <v>185</v>
      </c>
      <c r="G68" s="124" t="s">
        <v>195</v>
      </c>
      <c r="H68" s="121">
        <f t="shared" si="0"/>
        <v>181400</v>
      </c>
      <c r="I68" s="121">
        <v>181400</v>
      </c>
      <c r="J68" s="121"/>
      <c r="K68" s="125" t="s">
        <v>146</v>
      </c>
      <c r="L68" s="125" t="s">
        <v>146</v>
      </c>
      <c r="M68" s="125" t="s">
        <v>146</v>
      </c>
      <c r="N68" s="125" t="s">
        <v>146</v>
      </c>
      <c r="O68" s="119" t="s">
        <v>146</v>
      </c>
    </row>
    <row r="69" spans="1:15" s="140" customFormat="1" ht="25.5" hidden="1">
      <c r="A69" s="142" t="s">
        <v>24</v>
      </c>
      <c r="B69" s="124"/>
      <c r="C69" s="124" t="s">
        <v>47</v>
      </c>
      <c r="D69" s="124" t="s">
        <v>150</v>
      </c>
      <c r="E69" s="124" t="s">
        <v>191</v>
      </c>
      <c r="F69" s="124"/>
      <c r="G69" s="124"/>
      <c r="H69" s="121">
        <f t="shared" si="0"/>
        <v>0</v>
      </c>
      <c r="I69" s="121"/>
      <c r="J69" s="121"/>
      <c r="K69" s="125" t="s">
        <v>146</v>
      </c>
      <c r="L69" s="125" t="s">
        <v>146</v>
      </c>
      <c r="M69" s="125" t="s">
        <v>146</v>
      </c>
      <c r="N69" s="125" t="s">
        <v>146</v>
      </c>
      <c r="O69" s="119" t="s">
        <v>146</v>
      </c>
    </row>
    <row r="70" spans="1:15" s="140" customFormat="1" ht="12.75" hidden="1">
      <c r="A70" s="142" t="s">
        <v>25</v>
      </c>
      <c r="B70" s="124"/>
      <c r="C70" s="124" t="s">
        <v>47</v>
      </c>
      <c r="D70" s="124" t="s">
        <v>150</v>
      </c>
      <c r="E70" s="124" t="s">
        <v>191</v>
      </c>
      <c r="F70" s="124"/>
      <c r="G70" s="124"/>
      <c r="H70" s="121">
        <f t="shared" si="0"/>
        <v>0</v>
      </c>
      <c r="I70" s="121"/>
      <c r="J70" s="121"/>
      <c r="K70" s="125" t="s">
        <v>146</v>
      </c>
      <c r="L70" s="125" t="s">
        <v>146</v>
      </c>
      <c r="M70" s="125" t="s">
        <v>146</v>
      </c>
      <c r="N70" s="125" t="s">
        <v>146</v>
      </c>
      <c r="O70" s="119" t="s">
        <v>146</v>
      </c>
    </row>
    <row r="71" spans="1:15" s="140" customFormat="1" ht="12.75" hidden="1">
      <c r="A71" s="142" t="s">
        <v>26</v>
      </c>
      <c r="B71" s="124"/>
      <c r="C71" s="124" t="s">
        <v>47</v>
      </c>
      <c r="D71" s="124" t="s">
        <v>150</v>
      </c>
      <c r="E71" s="124" t="s">
        <v>191</v>
      </c>
      <c r="F71" s="124" t="s">
        <v>186</v>
      </c>
      <c r="G71" s="124" t="s">
        <v>242</v>
      </c>
      <c r="H71" s="121">
        <f>I71</f>
        <v>0</v>
      </c>
      <c r="I71" s="121"/>
      <c r="J71" s="121"/>
      <c r="K71" s="125"/>
      <c r="L71" s="125"/>
      <c r="M71" s="125"/>
      <c r="N71" s="125"/>
      <c r="O71" s="119"/>
    </row>
    <row r="72" spans="1:22" s="140" customFormat="1" ht="12.75">
      <c r="A72" s="142" t="s">
        <v>26</v>
      </c>
      <c r="B72" s="124"/>
      <c r="C72" s="124" t="s">
        <v>47</v>
      </c>
      <c r="D72" s="124" t="s">
        <v>150</v>
      </c>
      <c r="E72" s="124" t="s">
        <v>191</v>
      </c>
      <c r="F72" s="124" t="s">
        <v>341</v>
      </c>
      <c r="G72" s="124" t="s">
        <v>195</v>
      </c>
      <c r="H72" s="121">
        <f t="shared" si="0"/>
        <v>14000</v>
      </c>
      <c r="I72" s="121">
        <v>14000</v>
      </c>
      <c r="J72" s="121"/>
      <c r="K72" s="125" t="s">
        <v>146</v>
      </c>
      <c r="L72" s="125" t="s">
        <v>146</v>
      </c>
      <c r="M72" s="125" t="s">
        <v>146</v>
      </c>
      <c r="N72" s="125" t="s">
        <v>146</v>
      </c>
      <c r="O72" s="119" t="s">
        <v>146</v>
      </c>
      <c r="V72" s="252">
        <f>I63+I64+I68+I72+I74</f>
        <v>250900</v>
      </c>
    </row>
    <row r="73" spans="1:15" s="140" customFormat="1" ht="12.75" hidden="1">
      <c r="A73" s="142" t="s">
        <v>27</v>
      </c>
      <c r="B73" s="124"/>
      <c r="C73" s="124" t="s">
        <v>47</v>
      </c>
      <c r="D73" s="124" t="s">
        <v>150</v>
      </c>
      <c r="E73" s="124" t="s">
        <v>191</v>
      </c>
      <c r="F73" s="124"/>
      <c r="G73" s="124"/>
      <c r="H73" s="121">
        <f t="shared" si="0"/>
        <v>0</v>
      </c>
      <c r="I73" s="121"/>
      <c r="J73" s="121"/>
      <c r="K73" s="125" t="s">
        <v>146</v>
      </c>
      <c r="L73" s="125" t="s">
        <v>146</v>
      </c>
      <c r="M73" s="125" t="s">
        <v>146</v>
      </c>
      <c r="N73" s="125" t="s">
        <v>146</v>
      </c>
      <c r="O73" s="119" t="s">
        <v>146</v>
      </c>
    </row>
    <row r="74" spans="1:15" s="140" customFormat="1" ht="19.5" customHeight="1">
      <c r="A74" s="142" t="s">
        <v>28</v>
      </c>
      <c r="B74" s="124"/>
      <c r="C74" s="124" t="s">
        <v>47</v>
      </c>
      <c r="D74" s="124" t="s">
        <v>150</v>
      </c>
      <c r="E74" s="124" t="s">
        <v>191</v>
      </c>
      <c r="F74" s="124" t="s">
        <v>188</v>
      </c>
      <c r="G74" s="124" t="s">
        <v>195</v>
      </c>
      <c r="H74" s="121">
        <f t="shared" si="0"/>
        <v>5500</v>
      </c>
      <c r="I74" s="121">
        <v>5500</v>
      </c>
      <c r="J74" s="121"/>
      <c r="K74" s="125" t="s">
        <v>146</v>
      </c>
      <c r="L74" s="125" t="s">
        <v>146</v>
      </c>
      <c r="M74" s="125" t="s">
        <v>146</v>
      </c>
      <c r="N74" s="125" t="s">
        <v>146</v>
      </c>
      <c r="O74" s="119" t="s">
        <v>146</v>
      </c>
    </row>
    <row r="75" spans="1:15" s="140" customFormat="1" ht="13.5">
      <c r="A75" s="407" t="s">
        <v>196</v>
      </c>
      <c r="B75" s="408"/>
      <c r="C75" s="147" t="s">
        <v>53</v>
      </c>
      <c r="D75" s="131"/>
      <c r="E75" s="147"/>
      <c r="F75" s="131"/>
      <c r="G75" s="131"/>
      <c r="H75" s="148">
        <f>I75</f>
        <v>651400</v>
      </c>
      <c r="I75" s="148">
        <f>I81+I83+I84+I87+I88+I90</f>
        <v>651400</v>
      </c>
      <c r="J75" s="133"/>
      <c r="K75" s="149" t="s">
        <v>190</v>
      </c>
      <c r="L75" s="149"/>
      <c r="M75" s="149"/>
      <c r="N75" s="149" t="s">
        <v>190</v>
      </c>
      <c r="O75" s="135"/>
    </row>
    <row r="76" spans="1:15" s="140" customFormat="1" ht="12.75" hidden="1">
      <c r="A76" s="142" t="s">
        <v>15</v>
      </c>
      <c r="B76" s="124"/>
      <c r="C76" s="124"/>
      <c r="D76" s="124"/>
      <c r="E76" s="124"/>
      <c r="F76" s="124"/>
      <c r="G76" s="124"/>
      <c r="H76" s="121"/>
      <c r="I76" s="121"/>
      <c r="J76" s="121"/>
      <c r="K76" s="121"/>
      <c r="L76" s="121"/>
      <c r="M76" s="121"/>
      <c r="N76" s="121"/>
      <c r="O76" s="143"/>
    </row>
    <row r="77" spans="1:15" s="140" customFormat="1" ht="12.75" hidden="1">
      <c r="A77" s="142" t="s">
        <v>16</v>
      </c>
      <c r="B77" s="124"/>
      <c r="C77" s="124"/>
      <c r="D77" s="124"/>
      <c r="E77" s="124"/>
      <c r="F77" s="124"/>
      <c r="G77" s="124"/>
      <c r="H77" s="121"/>
      <c r="I77" s="121"/>
      <c r="J77" s="121"/>
      <c r="K77" s="121"/>
      <c r="L77" s="121"/>
      <c r="M77" s="121"/>
      <c r="N77" s="121"/>
      <c r="O77" s="143"/>
    </row>
    <row r="78" spans="1:15" s="140" customFormat="1" ht="12.75" hidden="1">
      <c r="A78" s="142" t="s">
        <v>17</v>
      </c>
      <c r="B78" s="124"/>
      <c r="C78" s="124"/>
      <c r="D78" s="124"/>
      <c r="E78" s="124"/>
      <c r="F78" s="124"/>
      <c r="G78" s="124"/>
      <c r="H78" s="121"/>
      <c r="I78" s="121"/>
      <c r="J78" s="121"/>
      <c r="K78" s="121"/>
      <c r="L78" s="121"/>
      <c r="M78" s="121"/>
      <c r="N78" s="121"/>
      <c r="O78" s="143"/>
    </row>
    <row r="79" spans="1:15" s="140" customFormat="1" ht="12.75" hidden="1">
      <c r="A79" s="142" t="s">
        <v>18</v>
      </c>
      <c r="B79" s="124"/>
      <c r="C79" s="124"/>
      <c r="D79" s="124"/>
      <c r="E79" s="124"/>
      <c r="F79" s="124"/>
      <c r="G79" s="124"/>
      <c r="H79" s="121"/>
      <c r="I79" s="121"/>
      <c r="J79" s="121"/>
      <c r="K79" s="121"/>
      <c r="L79" s="121"/>
      <c r="M79" s="121"/>
      <c r="N79" s="121"/>
      <c r="O79" s="143"/>
    </row>
    <row r="80" spans="1:15" s="140" customFormat="1" ht="12.75" hidden="1">
      <c r="A80" s="142" t="s">
        <v>19</v>
      </c>
      <c r="B80" s="124"/>
      <c r="C80" s="124"/>
      <c r="D80" s="124"/>
      <c r="E80" s="124"/>
      <c r="F80" s="124"/>
      <c r="G80" s="124"/>
      <c r="H80" s="121"/>
      <c r="I80" s="121"/>
      <c r="J80" s="121"/>
      <c r="K80" s="121"/>
      <c r="L80" s="121"/>
      <c r="M80" s="121"/>
      <c r="N80" s="121"/>
      <c r="O80" s="143"/>
    </row>
    <row r="81" spans="1:15" s="140" customFormat="1" ht="12.75">
      <c r="A81" s="142" t="s">
        <v>20</v>
      </c>
      <c r="B81" s="124"/>
      <c r="C81" s="124" t="s">
        <v>53</v>
      </c>
      <c r="D81" s="124" t="s">
        <v>150</v>
      </c>
      <c r="E81" s="124" t="s">
        <v>191</v>
      </c>
      <c r="F81" s="124" t="s">
        <v>183</v>
      </c>
      <c r="G81" s="124" t="s">
        <v>195</v>
      </c>
      <c r="H81" s="121">
        <f>I81</f>
        <v>314400</v>
      </c>
      <c r="I81" s="121">
        <v>314400</v>
      </c>
      <c r="J81" s="121"/>
      <c r="K81" s="125" t="s">
        <v>146</v>
      </c>
      <c r="L81" s="125" t="s">
        <v>146</v>
      </c>
      <c r="M81" s="125" t="s">
        <v>146</v>
      </c>
      <c r="N81" s="125" t="s">
        <v>146</v>
      </c>
      <c r="O81" s="119" t="s">
        <v>146</v>
      </c>
    </row>
    <row r="82" spans="1:15" s="140" customFormat="1" ht="25.5" hidden="1">
      <c r="A82" s="142" t="s">
        <v>21</v>
      </c>
      <c r="B82" s="124"/>
      <c r="C82" s="124"/>
      <c r="D82" s="124" t="s">
        <v>150</v>
      </c>
      <c r="E82" s="124"/>
      <c r="F82" s="124"/>
      <c r="G82" s="124"/>
      <c r="H82" s="121">
        <f aca="true" t="shared" si="1" ref="H82:H105">I82</f>
        <v>0</v>
      </c>
      <c r="I82" s="121"/>
      <c r="J82" s="121"/>
      <c r="K82" s="125" t="s">
        <v>146</v>
      </c>
      <c r="L82" s="125" t="s">
        <v>146</v>
      </c>
      <c r="M82" s="125" t="s">
        <v>146</v>
      </c>
      <c r="N82" s="125" t="s">
        <v>146</v>
      </c>
      <c r="O82" s="119" t="s">
        <v>146</v>
      </c>
    </row>
    <row r="83" spans="1:15" s="140" customFormat="1" ht="12.75">
      <c r="A83" s="142" t="s">
        <v>22</v>
      </c>
      <c r="B83" s="124"/>
      <c r="C83" s="124" t="s">
        <v>53</v>
      </c>
      <c r="D83" s="124" t="s">
        <v>150</v>
      </c>
      <c r="E83" s="124" t="s">
        <v>191</v>
      </c>
      <c r="F83" s="124" t="s">
        <v>184</v>
      </c>
      <c r="G83" s="124" t="s">
        <v>195</v>
      </c>
      <c r="H83" s="121">
        <f t="shared" si="1"/>
        <v>127500</v>
      </c>
      <c r="I83" s="121">
        <v>127500</v>
      </c>
      <c r="J83" s="121"/>
      <c r="K83" s="125" t="s">
        <v>146</v>
      </c>
      <c r="L83" s="125" t="s">
        <v>146</v>
      </c>
      <c r="M83" s="125" t="s">
        <v>146</v>
      </c>
      <c r="N83" s="125" t="s">
        <v>146</v>
      </c>
      <c r="O83" s="119" t="s">
        <v>146</v>
      </c>
    </row>
    <row r="84" spans="1:15" s="140" customFormat="1" ht="12.75">
      <c r="A84" s="142" t="s">
        <v>23</v>
      </c>
      <c r="B84" s="124"/>
      <c r="C84" s="124" t="s">
        <v>53</v>
      </c>
      <c r="D84" s="124" t="s">
        <v>150</v>
      </c>
      <c r="E84" s="124" t="s">
        <v>191</v>
      </c>
      <c r="F84" s="124" t="s">
        <v>185</v>
      </c>
      <c r="G84" s="124" t="s">
        <v>195</v>
      </c>
      <c r="H84" s="121">
        <f t="shared" si="1"/>
        <v>174000</v>
      </c>
      <c r="I84" s="121">
        <v>174000</v>
      </c>
      <c r="J84" s="121"/>
      <c r="K84" s="125" t="s">
        <v>146</v>
      </c>
      <c r="L84" s="125" t="s">
        <v>146</v>
      </c>
      <c r="M84" s="125" t="s">
        <v>146</v>
      </c>
      <c r="N84" s="125" t="s">
        <v>146</v>
      </c>
      <c r="O84" s="119" t="s">
        <v>146</v>
      </c>
    </row>
    <row r="85" spans="1:15" s="140" customFormat="1" ht="25.5" hidden="1">
      <c r="A85" s="142" t="s">
        <v>24</v>
      </c>
      <c r="B85" s="124"/>
      <c r="C85" s="124" t="s">
        <v>53</v>
      </c>
      <c r="D85" s="124" t="s">
        <v>150</v>
      </c>
      <c r="E85" s="124" t="s">
        <v>191</v>
      </c>
      <c r="F85" s="124"/>
      <c r="G85" s="124"/>
      <c r="H85" s="121">
        <f t="shared" si="1"/>
        <v>0</v>
      </c>
      <c r="I85" s="121"/>
      <c r="J85" s="121"/>
      <c r="K85" s="125" t="s">
        <v>146</v>
      </c>
      <c r="L85" s="125" t="s">
        <v>146</v>
      </c>
      <c r="M85" s="125" t="s">
        <v>146</v>
      </c>
      <c r="N85" s="125" t="s">
        <v>146</v>
      </c>
      <c r="O85" s="119" t="s">
        <v>146</v>
      </c>
    </row>
    <row r="86" spans="1:15" s="140" customFormat="1" ht="12.75" hidden="1">
      <c r="A86" s="142" t="s">
        <v>25</v>
      </c>
      <c r="B86" s="124"/>
      <c r="C86" s="124" t="s">
        <v>53</v>
      </c>
      <c r="D86" s="124" t="s">
        <v>150</v>
      </c>
      <c r="E86" s="124" t="s">
        <v>191</v>
      </c>
      <c r="F86" s="124"/>
      <c r="G86" s="124"/>
      <c r="H86" s="121">
        <f t="shared" si="1"/>
        <v>0</v>
      </c>
      <c r="I86" s="121"/>
      <c r="J86" s="121"/>
      <c r="K86" s="125" t="s">
        <v>146</v>
      </c>
      <c r="L86" s="125" t="s">
        <v>146</v>
      </c>
      <c r="M86" s="125" t="s">
        <v>146</v>
      </c>
      <c r="N86" s="125" t="s">
        <v>146</v>
      </c>
      <c r="O86" s="119" t="s">
        <v>146</v>
      </c>
    </row>
    <row r="87" spans="1:15" s="140" customFormat="1" ht="12.75" hidden="1">
      <c r="A87" s="142" t="s">
        <v>26</v>
      </c>
      <c r="B87" s="124"/>
      <c r="C87" s="124" t="s">
        <v>53</v>
      </c>
      <c r="D87" s="124" t="s">
        <v>150</v>
      </c>
      <c r="E87" s="124" t="s">
        <v>191</v>
      </c>
      <c r="F87" s="124" t="s">
        <v>186</v>
      </c>
      <c r="G87" s="124" t="s">
        <v>197</v>
      </c>
      <c r="H87" s="121">
        <f t="shared" si="1"/>
        <v>0</v>
      </c>
      <c r="I87" s="121"/>
      <c r="J87" s="121"/>
      <c r="K87" s="125" t="s">
        <v>146</v>
      </c>
      <c r="L87" s="125" t="s">
        <v>146</v>
      </c>
      <c r="M87" s="125" t="s">
        <v>146</v>
      </c>
      <c r="N87" s="125" t="s">
        <v>146</v>
      </c>
      <c r="O87" s="119" t="s">
        <v>146</v>
      </c>
    </row>
    <row r="88" spans="1:15" s="140" customFormat="1" ht="12.75">
      <c r="A88" s="142" t="s">
        <v>26</v>
      </c>
      <c r="B88" s="124"/>
      <c r="C88" s="124" t="s">
        <v>53</v>
      </c>
      <c r="D88" s="124" t="s">
        <v>150</v>
      </c>
      <c r="E88" s="124" t="s">
        <v>191</v>
      </c>
      <c r="F88" s="124" t="s">
        <v>341</v>
      </c>
      <c r="G88" s="124" t="s">
        <v>195</v>
      </c>
      <c r="H88" s="121">
        <f t="shared" si="1"/>
        <v>7500</v>
      </c>
      <c r="I88" s="121">
        <v>7500</v>
      </c>
      <c r="J88" s="121"/>
      <c r="K88" s="125" t="s">
        <v>146</v>
      </c>
      <c r="L88" s="125" t="s">
        <v>146</v>
      </c>
      <c r="M88" s="125" t="s">
        <v>146</v>
      </c>
      <c r="N88" s="125" t="s">
        <v>146</v>
      </c>
      <c r="O88" s="119" t="s">
        <v>146</v>
      </c>
    </row>
    <row r="89" spans="1:15" s="140" customFormat="1" ht="12.75" hidden="1">
      <c r="A89" s="142" t="s">
        <v>27</v>
      </c>
      <c r="B89" s="124"/>
      <c r="C89" s="124" t="s">
        <v>53</v>
      </c>
      <c r="D89" s="124" t="s">
        <v>150</v>
      </c>
      <c r="E89" s="124" t="s">
        <v>191</v>
      </c>
      <c r="F89" s="124"/>
      <c r="G89" s="124"/>
      <c r="H89" s="121">
        <f t="shared" si="1"/>
        <v>0</v>
      </c>
      <c r="I89" s="121"/>
      <c r="J89" s="121"/>
      <c r="K89" s="125" t="s">
        <v>146</v>
      </c>
      <c r="L89" s="125" t="s">
        <v>146</v>
      </c>
      <c r="M89" s="125" t="s">
        <v>146</v>
      </c>
      <c r="N89" s="125" t="s">
        <v>146</v>
      </c>
      <c r="O89" s="119" t="s">
        <v>146</v>
      </c>
    </row>
    <row r="90" spans="1:15" s="140" customFormat="1" ht="21.75" customHeight="1">
      <c r="A90" s="142" t="s">
        <v>28</v>
      </c>
      <c r="B90" s="124"/>
      <c r="C90" s="124" t="s">
        <v>53</v>
      </c>
      <c r="D90" s="124" t="s">
        <v>150</v>
      </c>
      <c r="E90" s="124" t="s">
        <v>191</v>
      </c>
      <c r="F90" s="124" t="s">
        <v>188</v>
      </c>
      <c r="G90" s="124" t="s">
        <v>195</v>
      </c>
      <c r="H90" s="121">
        <f t="shared" si="1"/>
        <v>28000</v>
      </c>
      <c r="I90" s="121">
        <v>28000</v>
      </c>
      <c r="J90" s="121"/>
      <c r="K90" s="125" t="s">
        <v>146</v>
      </c>
      <c r="L90" s="125" t="s">
        <v>146</v>
      </c>
      <c r="M90" s="125" t="s">
        <v>146</v>
      </c>
      <c r="N90" s="125" t="s">
        <v>146</v>
      </c>
      <c r="O90" s="119" t="s">
        <v>146</v>
      </c>
    </row>
    <row r="91" spans="1:15" s="140" customFormat="1" ht="13.5" hidden="1">
      <c r="A91" s="414" t="s">
        <v>198</v>
      </c>
      <c r="B91" s="414"/>
      <c r="C91" s="147" t="s">
        <v>96</v>
      </c>
      <c r="D91" s="131"/>
      <c r="E91" s="147"/>
      <c r="F91" s="131"/>
      <c r="G91" s="131"/>
      <c r="H91" s="121">
        <f t="shared" si="1"/>
        <v>0</v>
      </c>
      <c r="I91" s="150">
        <f>I92+I94</f>
        <v>0</v>
      </c>
      <c r="J91" s="133"/>
      <c r="K91" s="133"/>
      <c r="L91" s="133"/>
      <c r="M91" s="133"/>
      <c r="N91" s="133"/>
      <c r="O91" s="135"/>
    </row>
    <row r="92" spans="1:15" s="140" customFormat="1" ht="12.75" hidden="1">
      <c r="A92" s="142" t="s">
        <v>15</v>
      </c>
      <c r="B92" s="124"/>
      <c r="C92" s="124"/>
      <c r="D92" s="124"/>
      <c r="E92" s="124"/>
      <c r="F92" s="124" t="s">
        <v>171</v>
      </c>
      <c r="G92" s="124" t="s">
        <v>192</v>
      </c>
      <c r="H92" s="121">
        <f t="shared" si="1"/>
        <v>0</v>
      </c>
      <c r="I92" s="121"/>
      <c r="J92" s="121"/>
      <c r="K92" s="125" t="s">
        <v>146</v>
      </c>
      <c r="L92" s="125" t="s">
        <v>146</v>
      </c>
      <c r="M92" s="125" t="s">
        <v>146</v>
      </c>
      <c r="N92" s="125" t="s">
        <v>146</v>
      </c>
      <c r="O92" s="119" t="s">
        <v>146</v>
      </c>
    </row>
    <row r="93" spans="1:15" s="140" customFormat="1" ht="12.75" hidden="1">
      <c r="A93" s="142" t="s">
        <v>16</v>
      </c>
      <c r="B93" s="124"/>
      <c r="C93" s="124"/>
      <c r="D93" s="124"/>
      <c r="E93" s="124"/>
      <c r="F93" s="124"/>
      <c r="G93" s="124"/>
      <c r="H93" s="121">
        <f t="shared" si="1"/>
        <v>0</v>
      </c>
      <c r="I93" s="121"/>
      <c r="J93" s="121"/>
      <c r="K93" s="125" t="s">
        <v>146</v>
      </c>
      <c r="L93" s="125" t="s">
        <v>146</v>
      </c>
      <c r="M93" s="125" t="s">
        <v>146</v>
      </c>
      <c r="N93" s="125" t="s">
        <v>146</v>
      </c>
      <c r="O93" s="119" t="s">
        <v>146</v>
      </c>
    </row>
    <row r="94" spans="1:15" s="140" customFormat="1" ht="12.75" hidden="1">
      <c r="A94" s="142" t="s">
        <v>17</v>
      </c>
      <c r="B94" s="124"/>
      <c r="C94" s="124"/>
      <c r="D94" s="124"/>
      <c r="E94" s="124"/>
      <c r="F94" s="124" t="s">
        <v>180</v>
      </c>
      <c r="G94" s="124" t="s">
        <v>194</v>
      </c>
      <c r="H94" s="121">
        <f t="shared" si="1"/>
        <v>0</v>
      </c>
      <c r="I94" s="121"/>
      <c r="J94" s="121"/>
      <c r="K94" s="125" t="s">
        <v>146</v>
      </c>
      <c r="L94" s="125" t="s">
        <v>146</v>
      </c>
      <c r="M94" s="125" t="s">
        <v>146</v>
      </c>
      <c r="N94" s="125" t="s">
        <v>146</v>
      </c>
      <c r="O94" s="119" t="s">
        <v>146</v>
      </c>
    </row>
    <row r="95" spans="1:15" s="140" customFormat="1" ht="12.75" hidden="1">
      <c r="A95" s="142" t="s">
        <v>18</v>
      </c>
      <c r="B95" s="124"/>
      <c r="C95" s="124"/>
      <c r="D95" s="124"/>
      <c r="E95" s="124"/>
      <c r="F95" s="124"/>
      <c r="G95" s="124"/>
      <c r="H95" s="121">
        <f t="shared" si="1"/>
        <v>0</v>
      </c>
      <c r="I95" s="121"/>
      <c r="J95" s="121"/>
      <c r="K95" s="121"/>
      <c r="L95" s="121"/>
      <c r="M95" s="121"/>
      <c r="N95" s="121"/>
      <c r="O95" s="143"/>
    </row>
    <row r="96" spans="1:15" s="140" customFormat="1" ht="12.75" hidden="1">
      <c r="A96" s="142" t="s">
        <v>19</v>
      </c>
      <c r="B96" s="124"/>
      <c r="C96" s="124"/>
      <c r="D96" s="124"/>
      <c r="E96" s="124"/>
      <c r="F96" s="124"/>
      <c r="G96" s="124"/>
      <c r="H96" s="121">
        <f t="shared" si="1"/>
        <v>0</v>
      </c>
      <c r="I96" s="121"/>
      <c r="J96" s="121"/>
      <c r="K96" s="121"/>
      <c r="L96" s="121"/>
      <c r="M96" s="121"/>
      <c r="N96" s="121"/>
      <c r="O96" s="143"/>
    </row>
    <row r="97" spans="1:15" s="140" customFormat="1" ht="12.75" hidden="1">
      <c r="A97" s="142" t="s">
        <v>20</v>
      </c>
      <c r="B97" s="124"/>
      <c r="C97" s="124"/>
      <c r="D97" s="124"/>
      <c r="E97" s="124"/>
      <c r="F97" s="124"/>
      <c r="G97" s="124"/>
      <c r="H97" s="121">
        <f t="shared" si="1"/>
        <v>0</v>
      </c>
      <c r="I97" s="121"/>
      <c r="J97" s="121"/>
      <c r="K97" s="121"/>
      <c r="L97" s="121"/>
      <c r="M97" s="121"/>
      <c r="N97" s="121"/>
      <c r="O97" s="143"/>
    </row>
    <row r="98" spans="1:15" s="140" customFormat="1" ht="25.5" hidden="1">
      <c r="A98" s="142" t="s">
        <v>21</v>
      </c>
      <c r="B98" s="124"/>
      <c r="C98" s="124"/>
      <c r="D98" s="124"/>
      <c r="E98" s="124"/>
      <c r="F98" s="124"/>
      <c r="G98" s="124"/>
      <c r="H98" s="121">
        <f t="shared" si="1"/>
        <v>0</v>
      </c>
      <c r="I98" s="121"/>
      <c r="J98" s="121"/>
      <c r="K98" s="121"/>
      <c r="L98" s="121"/>
      <c r="M98" s="121"/>
      <c r="N98" s="121"/>
      <c r="O98" s="143"/>
    </row>
    <row r="99" spans="1:15" s="140" customFormat="1" ht="12.75" hidden="1">
      <c r="A99" s="142" t="s">
        <v>22</v>
      </c>
      <c r="B99" s="124"/>
      <c r="C99" s="124"/>
      <c r="D99" s="124"/>
      <c r="E99" s="124"/>
      <c r="F99" s="124"/>
      <c r="G99" s="124"/>
      <c r="H99" s="121">
        <f t="shared" si="1"/>
        <v>0</v>
      </c>
      <c r="I99" s="121"/>
      <c r="J99" s="121"/>
      <c r="K99" s="121"/>
      <c r="L99" s="121"/>
      <c r="M99" s="121"/>
      <c r="N99" s="121"/>
      <c r="O99" s="143"/>
    </row>
    <row r="100" spans="1:15" s="140" customFormat="1" ht="12.75" hidden="1">
      <c r="A100" s="142" t="s">
        <v>23</v>
      </c>
      <c r="B100" s="124"/>
      <c r="C100" s="124"/>
      <c r="D100" s="124"/>
      <c r="E100" s="124"/>
      <c r="F100" s="124"/>
      <c r="G100" s="124"/>
      <c r="H100" s="121">
        <f t="shared" si="1"/>
        <v>0</v>
      </c>
      <c r="I100" s="121"/>
      <c r="J100" s="121"/>
      <c r="K100" s="121"/>
      <c r="L100" s="121"/>
      <c r="M100" s="121"/>
      <c r="N100" s="121"/>
      <c r="O100" s="143"/>
    </row>
    <row r="101" spans="1:15" s="140" customFormat="1" ht="25.5" hidden="1">
      <c r="A101" s="142" t="s">
        <v>24</v>
      </c>
      <c r="B101" s="124"/>
      <c r="C101" s="124"/>
      <c r="D101" s="124"/>
      <c r="E101" s="124"/>
      <c r="F101" s="124"/>
      <c r="G101" s="124"/>
      <c r="H101" s="121">
        <f t="shared" si="1"/>
        <v>0</v>
      </c>
      <c r="I101" s="121"/>
      <c r="J101" s="121"/>
      <c r="K101" s="121"/>
      <c r="L101" s="121"/>
      <c r="M101" s="121"/>
      <c r="N101" s="121"/>
      <c r="O101" s="143"/>
    </row>
    <row r="102" spans="1:15" s="140" customFormat="1" ht="12.75" hidden="1">
      <c r="A102" s="142" t="s">
        <v>25</v>
      </c>
      <c r="B102" s="124"/>
      <c r="C102" s="124"/>
      <c r="D102" s="124"/>
      <c r="E102" s="124"/>
      <c r="F102" s="124"/>
      <c r="G102" s="124"/>
      <c r="H102" s="121">
        <f t="shared" si="1"/>
        <v>0</v>
      </c>
      <c r="I102" s="121"/>
      <c r="J102" s="121"/>
      <c r="K102" s="121"/>
      <c r="L102" s="121"/>
      <c r="M102" s="121"/>
      <c r="N102" s="121"/>
      <c r="O102" s="143"/>
    </row>
    <row r="103" spans="1:15" s="140" customFormat="1" ht="12.75" hidden="1">
      <c r="A103" s="142" t="s">
        <v>26</v>
      </c>
      <c r="B103" s="124"/>
      <c r="C103" s="124"/>
      <c r="D103" s="124"/>
      <c r="E103" s="124"/>
      <c r="F103" s="124"/>
      <c r="G103" s="124"/>
      <c r="H103" s="121">
        <f t="shared" si="1"/>
        <v>0</v>
      </c>
      <c r="I103" s="121"/>
      <c r="J103" s="121"/>
      <c r="K103" s="121"/>
      <c r="L103" s="121"/>
      <c r="M103" s="121"/>
      <c r="N103" s="121"/>
      <c r="O103" s="143"/>
    </row>
    <row r="104" spans="1:15" s="140" customFormat="1" ht="12.75" hidden="1">
      <c r="A104" s="142" t="s">
        <v>27</v>
      </c>
      <c r="B104" s="124"/>
      <c r="C104" s="124"/>
      <c r="D104" s="124"/>
      <c r="E104" s="124"/>
      <c r="F104" s="124"/>
      <c r="G104" s="124"/>
      <c r="H104" s="121">
        <f t="shared" si="1"/>
        <v>0</v>
      </c>
      <c r="I104" s="121"/>
      <c r="J104" s="121"/>
      <c r="K104" s="121"/>
      <c r="L104" s="121"/>
      <c r="M104" s="121"/>
      <c r="N104" s="121"/>
      <c r="O104" s="143"/>
    </row>
    <row r="105" spans="1:15" s="140" customFormat="1" ht="25.5" hidden="1">
      <c r="A105" s="142" t="s">
        <v>28</v>
      </c>
      <c r="B105" s="124"/>
      <c r="C105" s="124"/>
      <c r="D105" s="124"/>
      <c r="E105" s="124"/>
      <c r="F105" s="124"/>
      <c r="G105" s="124"/>
      <c r="H105" s="121">
        <f t="shared" si="1"/>
        <v>0</v>
      </c>
      <c r="I105" s="121"/>
      <c r="J105" s="121"/>
      <c r="K105" s="121"/>
      <c r="L105" s="121"/>
      <c r="M105" s="121"/>
      <c r="N105" s="121"/>
      <c r="O105" s="143"/>
    </row>
    <row r="106" spans="1:15" s="140" customFormat="1" ht="12.75">
      <c r="A106" s="179" t="s">
        <v>318</v>
      </c>
      <c r="B106" s="180"/>
      <c r="C106" s="180" t="s">
        <v>275</v>
      </c>
      <c r="D106" s="181"/>
      <c r="E106" s="131"/>
      <c r="F106" s="131"/>
      <c r="G106" s="131"/>
      <c r="H106" s="133">
        <f aca="true" t="shared" si="2" ref="H106:H113">K106</f>
        <v>245000</v>
      </c>
      <c r="I106" s="133"/>
      <c r="J106" s="133"/>
      <c r="K106" s="148">
        <f>K107</f>
        <v>245000</v>
      </c>
      <c r="L106" s="133"/>
      <c r="M106" s="133"/>
      <c r="N106" s="133"/>
      <c r="O106" s="143"/>
    </row>
    <row r="107" spans="1:15" s="140" customFormat="1" ht="12.75">
      <c r="A107" s="142" t="s">
        <v>26</v>
      </c>
      <c r="B107" s="124"/>
      <c r="C107" s="178" t="s">
        <v>275</v>
      </c>
      <c r="D107" s="124" t="s">
        <v>150</v>
      </c>
      <c r="E107" s="124" t="s">
        <v>191</v>
      </c>
      <c r="F107" s="124" t="s">
        <v>319</v>
      </c>
      <c r="G107" s="124" t="s">
        <v>320</v>
      </c>
      <c r="H107" s="121">
        <f t="shared" si="2"/>
        <v>245000</v>
      </c>
      <c r="I107" s="121"/>
      <c r="J107" s="121"/>
      <c r="K107" s="121">
        <f>170000+75000</f>
        <v>245000</v>
      </c>
      <c r="L107" s="121"/>
      <c r="M107" s="121"/>
      <c r="N107" s="121"/>
      <c r="O107" s="143"/>
    </row>
    <row r="108" spans="1:15" s="140" customFormat="1" ht="12.75">
      <c r="A108" s="403" t="s">
        <v>339</v>
      </c>
      <c r="B108" s="415"/>
      <c r="C108" s="404"/>
      <c r="D108" s="131"/>
      <c r="E108" s="131"/>
      <c r="F108" s="131"/>
      <c r="G108" s="280"/>
      <c r="H108" s="148">
        <f t="shared" si="2"/>
        <v>100000</v>
      </c>
      <c r="I108" s="148"/>
      <c r="J108" s="148"/>
      <c r="K108" s="148">
        <f>K109</f>
        <v>100000</v>
      </c>
      <c r="L108" s="133"/>
      <c r="M108" s="133"/>
      <c r="N108" s="133"/>
      <c r="O108" s="143"/>
    </row>
    <row r="109" spans="1:15" s="140" customFormat="1" ht="25.5">
      <c r="A109" s="142" t="s">
        <v>28</v>
      </c>
      <c r="B109" s="178"/>
      <c r="C109" s="124" t="s">
        <v>97</v>
      </c>
      <c r="D109" s="124" t="s">
        <v>338</v>
      </c>
      <c r="E109" s="124" t="s">
        <v>340</v>
      </c>
      <c r="F109" s="124" t="s">
        <v>195</v>
      </c>
      <c r="G109" s="124" t="s">
        <v>188</v>
      </c>
      <c r="H109" s="121">
        <f t="shared" si="2"/>
        <v>100000</v>
      </c>
      <c r="I109" s="121"/>
      <c r="J109" s="121"/>
      <c r="K109" s="121">
        <v>100000</v>
      </c>
      <c r="L109" s="121"/>
      <c r="M109" s="121"/>
      <c r="N109" s="121"/>
      <c r="O109" s="143"/>
    </row>
    <row r="110" spans="1:15" s="140" customFormat="1" ht="12.75">
      <c r="A110" s="315" t="s">
        <v>110</v>
      </c>
      <c r="B110" s="316"/>
      <c r="C110" s="316"/>
      <c r="D110" s="413"/>
      <c r="E110" s="131"/>
      <c r="F110" s="131"/>
      <c r="G110" s="131"/>
      <c r="H110" s="133">
        <f t="shared" si="2"/>
        <v>23999</v>
      </c>
      <c r="I110" s="133"/>
      <c r="J110" s="133"/>
      <c r="K110" s="148">
        <f>K112+K113+K111</f>
        <v>23999</v>
      </c>
      <c r="L110" s="133"/>
      <c r="M110" s="133"/>
      <c r="N110" s="133"/>
      <c r="O110" s="143"/>
    </row>
    <row r="111" spans="1:15" s="140" customFormat="1" ht="12.75">
      <c r="A111" s="142" t="s">
        <v>22</v>
      </c>
      <c r="B111" s="182"/>
      <c r="C111" s="124" t="s">
        <v>78</v>
      </c>
      <c r="D111" s="124" t="s">
        <v>150</v>
      </c>
      <c r="E111" s="124" t="s">
        <v>236</v>
      </c>
      <c r="F111" s="124" t="s">
        <v>184</v>
      </c>
      <c r="G111" s="124" t="s">
        <v>195</v>
      </c>
      <c r="H111" s="121">
        <f t="shared" si="2"/>
        <v>2753</v>
      </c>
      <c r="I111" s="121"/>
      <c r="J111" s="121"/>
      <c r="K111" s="121">
        <v>2753</v>
      </c>
      <c r="L111" s="121"/>
      <c r="M111" s="121"/>
      <c r="N111" s="121"/>
      <c r="O111" s="143"/>
    </row>
    <row r="112" spans="1:15" s="140" customFormat="1" ht="12.75">
      <c r="A112" s="142" t="s">
        <v>23</v>
      </c>
      <c r="B112" s="169"/>
      <c r="C112" s="124" t="s">
        <v>78</v>
      </c>
      <c r="D112" s="124" t="s">
        <v>150</v>
      </c>
      <c r="E112" s="124" t="s">
        <v>236</v>
      </c>
      <c r="F112" s="124" t="s">
        <v>185</v>
      </c>
      <c r="G112" s="124" t="s">
        <v>195</v>
      </c>
      <c r="H112" s="121">
        <f t="shared" si="2"/>
        <v>18571</v>
      </c>
      <c r="I112" s="121"/>
      <c r="J112" s="121"/>
      <c r="K112" s="121">
        <f>16080+2491</f>
        <v>18571</v>
      </c>
      <c r="L112" s="121"/>
      <c r="M112" s="121"/>
      <c r="N112" s="121"/>
      <c r="O112" s="143"/>
    </row>
    <row r="113" spans="1:15" s="140" customFormat="1" ht="15.75" customHeight="1">
      <c r="A113" s="142" t="s">
        <v>28</v>
      </c>
      <c r="B113" s="169"/>
      <c r="C113" s="124" t="s">
        <v>78</v>
      </c>
      <c r="D113" s="124" t="s">
        <v>150</v>
      </c>
      <c r="E113" s="124" t="s">
        <v>236</v>
      </c>
      <c r="F113" s="124" t="s">
        <v>188</v>
      </c>
      <c r="G113" s="124" t="s">
        <v>195</v>
      </c>
      <c r="H113" s="121">
        <f t="shared" si="2"/>
        <v>2675</v>
      </c>
      <c r="I113" s="121"/>
      <c r="J113" s="121"/>
      <c r="K113" s="121">
        <v>2675</v>
      </c>
      <c r="L113" s="121"/>
      <c r="M113" s="121"/>
      <c r="N113" s="121"/>
      <c r="O113" s="143"/>
    </row>
    <row r="114" spans="1:15" s="140" customFormat="1" ht="13.5">
      <c r="A114" s="411" t="s">
        <v>199</v>
      </c>
      <c r="B114" s="412"/>
      <c r="C114" s="147" t="s">
        <v>76</v>
      </c>
      <c r="D114" s="131"/>
      <c r="E114" s="147"/>
      <c r="F114" s="131"/>
      <c r="G114" s="131"/>
      <c r="H114" s="148">
        <f>N114</f>
        <v>1367636.17</v>
      </c>
      <c r="I114" s="149" t="s">
        <v>190</v>
      </c>
      <c r="J114" s="149"/>
      <c r="K114" s="149" t="s">
        <v>190</v>
      </c>
      <c r="L114" s="149" t="s">
        <v>190</v>
      </c>
      <c r="M114" s="148"/>
      <c r="N114" s="148">
        <f>N119+N123+N125+N128+N129+N132+N116+N118+N115+N117+N127+N121+N130+N124+N131</f>
        <v>1367636.17</v>
      </c>
      <c r="O114" s="135"/>
    </row>
    <row r="115" spans="1:15" s="140" customFormat="1" ht="12.75">
      <c r="A115" s="142" t="s">
        <v>15</v>
      </c>
      <c r="B115" s="124"/>
      <c r="C115" s="124" t="s">
        <v>76</v>
      </c>
      <c r="D115" s="124" t="s">
        <v>150</v>
      </c>
      <c r="E115" s="124" t="s">
        <v>191</v>
      </c>
      <c r="F115" s="124" t="s">
        <v>171</v>
      </c>
      <c r="G115" s="124" t="s">
        <v>192</v>
      </c>
      <c r="H115" s="121">
        <f aca="true" t="shared" si="3" ref="H115:H132">N115</f>
        <v>615000</v>
      </c>
      <c r="I115" s="125" t="s">
        <v>146</v>
      </c>
      <c r="J115" s="125" t="s">
        <v>146</v>
      </c>
      <c r="K115" s="125" t="s">
        <v>146</v>
      </c>
      <c r="L115" s="121"/>
      <c r="M115" s="121"/>
      <c r="N115" s="121">
        <f>815000-200000</f>
        <v>615000</v>
      </c>
      <c r="O115" s="143"/>
    </row>
    <row r="116" spans="1:15" s="140" customFormat="1" ht="12.75">
      <c r="A116" s="142" t="s">
        <v>16</v>
      </c>
      <c r="B116" s="124"/>
      <c r="C116" s="124" t="s">
        <v>76</v>
      </c>
      <c r="D116" s="124" t="s">
        <v>150</v>
      </c>
      <c r="E116" s="124" t="s">
        <v>191</v>
      </c>
      <c r="F116" s="124" t="s">
        <v>179</v>
      </c>
      <c r="G116" s="124" t="s">
        <v>193</v>
      </c>
      <c r="H116" s="121">
        <f t="shared" si="3"/>
        <v>10000</v>
      </c>
      <c r="I116" s="125" t="s">
        <v>146</v>
      </c>
      <c r="J116" s="125" t="s">
        <v>146</v>
      </c>
      <c r="K116" s="125" t="s">
        <v>146</v>
      </c>
      <c r="L116" s="121"/>
      <c r="M116" s="121"/>
      <c r="N116" s="121">
        <v>10000</v>
      </c>
      <c r="O116" s="143"/>
    </row>
    <row r="117" spans="1:15" s="140" customFormat="1" ht="12.75">
      <c r="A117" s="142" t="s">
        <v>231</v>
      </c>
      <c r="B117" s="124"/>
      <c r="C117" s="124" t="s">
        <v>76</v>
      </c>
      <c r="D117" s="124" t="s">
        <v>150</v>
      </c>
      <c r="E117" s="124" t="s">
        <v>191</v>
      </c>
      <c r="F117" s="124" t="s">
        <v>180</v>
      </c>
      <c r="G117" s="124" t="s">
        <v>194</v>
      </c>
      <c r="H117" s="121">
        <f t="shared" si="3"/>
        <v>100000</v>
      </c>
      <c r="I117" s="125" t="s">
        <v>146</v>
      </c>
      <c r="J117" s="125" t="s">
        <v>146</v>
      </c>
      <c r="K117" s="125" t="s">
        <v>146</v>
      </c>
      <c r="L117" s="121"/>
      <c r="M117" s="121"/>
      <c r="N117" s="121">
        <f>250000-150000</f>
        <v>100000</v>
      </c>
      <c r="O117" s="143"/>
    </row>
    <row r="118" spans="1:15" s="140" customFormat="1" ht="12.75">
      <c r="A118" s="142" t="s">
        <v>228</v>
      </c>
      <c r="B118" s="124"/>
      <c r="C118" s="124" t="s">
        <v>76</v>
      </c>
      <c r="D118" s="124" t="s">
        <v>150</v>
      </c>
      <c r="E118" s="124" t="s">
        <v>191</v>
      </c>
      <c r="F118" s="124" t="s">
        <v>181</v>
      </c>
      <c r="G118" s="124" t="s">
        <v>195</v>
      </c>
      <c r="H118" s="121">
        <f t="shared" si="3"/>
        <v>24000</v>
      </c>
      <c r="I118" s="125" t="s">
        <v>146</v>
      </c>
      <c r="J118" s="125" t="s">
        <v>146</v>
      </c>
      <c r="K118" s="125" t="s">
        <v>146</v>
      </c>
      <c r="L118" s="121"/>
      <c r="M118" s="121"/>
      <c r="N118" s="121">
        <f>4000+20000</f>
        <v>24000</v>
      </c>
      <c r="O118" s="143"/>
    </row>
    <row r="119" spans="1:15" s="140" customFormat="1" ht="12.75">
      <c r="A119" s="142" t="s">
        <v>19</v>
      </c>
      <c r="B119" s="124"/>
      <c r="C119" s="124" t="s">
        <v>76</v>
      </c>
      <c r="D119" s="124" t="s">
        <v>150</v>
      </c>
      <c r="E119" s="124" t="s">
        <v>191</v>
      </c>
      <c r="F119" s="124" t="s">
        <v>182</v>
      </c>
      <c r="G119" s="124" t="s">
        <v>195</v>
      </c>
      <c r="H119" s="121">
        <f t="shared" si="3"/>
        <v>25000</v>
      </c>
      <c r="I119" s="125" t="s">
        <v>146</v>
      </c>
      <c r="J119" s="125" t="s">
        <v>146</v>
      </c>
      <c r="K119" s="125" t="s">
        <v>146</v>
      </c>
      <c r="L119" s="125" t="s">
        <v>146</v>
      </c>
      <c r="M119" s="125" t="s">
        <v>146</v>
      </c>
      <c r="N119" s="121">
        <f>5000+20000</f>
        <v>25000</v>
      </c>
      <c r="O119" s="119" t="s">
        <v>146</v>
      </c>
    </row>
    <row r="120" spans="1:15" s="140" customFormat="1" ht="12.75" hidden="1">
      <c r="A120" s="142" t="s">
        <v>19</v>
      </c>
      <c r="B120" s="124"/>
      <c r="C120" s="124" t="s">
        <v>76</v>
      </c>
      <c r="D120" s="124" t="s">
        <v>150</v>
      </c>
      <c r="E120" s="124" t="s">
        <v>191</v>
      </c>
      <c r="F120" s="124"/>
      <c r="G120" s="124" t="s">
        <v>200</v>
      </c>
      <c r="H120" s="121">
        <f t="shared" si="3"/>
        <v>0</v>
      </c>
      <c r="I120" s="125" t="s">
        <v>146</v>
      </c>
      <c r="J120" s="125" t="s">
        <v>146</v>
      </c>
      <c r="K120" s="125" t="s">
        <v>146</v>
      </c>
      <c r="L120" s="125" t="s">
        <v>146</v>
      </c>
      <c r="M120" s="125" t="s">
        <v>146</v>
      </c>
      <c r="N120" s="121"/>
      <c r="O120" s="119" t="s">
        <v>146</v>
      </c>
    </row>
    <row r="121" spans="1:15" s="140" customFormat="1" ht="12.75">
      <c r="A121" s="142" t="s">
        <v>20</v>
      </c>
      <c r="B121" s="124"/>
      <c r="C121" s="124" t="s">
        <v>76</v>
      </c>
      <c r="D121" s="124" t="s">
        <v>150</v>
      </c>
      <c r="E121" s="124" t="s">
        <v>191</v>
      </c>
      <c r="F121" s="124" t="s">
        <v>183</v>
      </c>
      <c r="G121" s="124" t="s">
        <v>195</v>
      </c>
      <c r="H121" s="121">
        <f t="shared" si="3"/>
        <v>10000</v>
      </c>
      <c r="I121" s="125" t="s">
        <v>146</v>
      </c>
      <c r="J121" s="125" t="s">
        <v>146</v>
      </c>
      <c r="K121" s="125" t="s">
        <v>146</v>
      </c>
      <c r="L121" s="125" t="s">
        <v>146</v>
      </c>
      <c r="M121" s="125" t="s">
        <v>146</v>
      </c>
      <c r="N121" s="121">
        <v>10000</v>
      </c>
      <c r="O121" s="119" t="s">
        <v>146</v>
      </c>
    </row>
    <row r="122" spans="1:15" s="140" customFormat="1" ht="25.5" hidden="1">
      <c r="A122" s="142" t="s">
        <v>21</v>
      </c>
      <c r="B122" s="124"/>
      <c r="C122" s="124" t="s">
        <v>76</v>
      </c>
      <c r="D122" s="124" t="s">
        <v>150</v>
      </c>
      <c r="E122" s="124" t="s">
        <v>191</v>
      </c>
      <c r="F122" s="124"/>
      <c r="G122" s="124" t="s">
        <v>201</v>
      </c>
      <c r="H122" s="121">
        <f t="shared" si="3"/>
        <v>0</v>
      </c>
      <c r="I122" s="125" t="s">
        <v>146</v>
      </c>
      <c r="J122" s="125" t="s">
        <v>146</v>
      </c>
      <c r="K122" s="125" t="s">
        <v>146</v>
      </c>
      <c r="L122" s="125" t="s">
        <v>146</v>
      </c>
      <c r="M122" s="125" t="s">
        <v>146</v>
      </c>
      <c r="N122" s="121"/>
      <c r="O122" s="119" t="s">
        <v>146</v>
      </c>
    </row>
    <row r="123" spans="1:15" s="140" customFormat="1" ht="14.25" customHeight="1">
      <c r="A123" s="142" t="s">
        <v>22</v>
      </c>
      <c r="B123" s="124"/>
      <c r="C123" s="124" t="s">
        <v>76</v>
      </c>
      <c r="D123" s="124" t="s">
        <v>150</v>
      </c>
      <c r="E123" s="124" t="s">
        <v>191</v>
      </c>
      <c r="F123" s="124" t="s">
        <v>184</v>
      </c>
      <c r="G123" s="124" t="s">
        <v>195</v>
      </c>
      <c r="H123" s="121">
        <f t="shared" si="3"/>
        <v>30000</v>
      </c>
      <c r="I123" s="125" t="s">
        <v>146</v>
      </c>
      <c r="J123" s="125" t="s">
        <v>146</v>
      </c>
      <c r="K123" s="125" t="s">
        <v>146</v>
      </c>
      <c r="L123" s="125" t="s">
        <v>146</v>
      </c>
      <c r="M123" s="125" t="s">
        <v>146</v>
      </c>
      <c r="N123" s="121">
        <v>30000</v>
      </c>
      <c r="O123" s="119" t="s">
        <v>146</v>
      </c>
    </row>
    <row r="124" spans="1:15" s="140" customFormat="1" ht="14.25" customHeight="1">
      <c r="A124" s="142" t="s">
        <v>23</v>
      </c>
      <c r="B124" s="124"/>
      <c r="C124" s="124" t="s">
        <v>76</v>
      </c>
      <c r="D124" s="124" t="s">
        <v>150</v>
      </c>
      <c r="E124" s="124" t="s">
        <v>236</v>
      </c>
      <c r="F124" s="124" t="s">
        <v>185</v>
      </c>
      <c r="G124" s="124" t="s">
        <v>195</v>
      </c>
      <c r="H124" s="121">
        <f t="shared" si="3"/>
        <v>65772.75</v>
      </c>
      <c r="I124" s="125"/>
      <c r="J124" s="125"/>
      <c r="K124" s="125"/>
      <c r="L124" s="125"/>
      <c r="M124" s="125"/>
      <c r="N124" s="133">
        <f>63882.75+1890</f>
        <v>65772.75</v>
      </c>
      <c r="O124" s="119"/>
    </row>
    <row r="125" spans="1:15" s="140" customFormat="1" ht="12.75">
      <c r="A125" s="142" t="s">
        <v>23</v>
      </c>
      <c r="B125" s="124"/>
      <c r="C125" s="124" t="s">
        <v>76</v>
      </c>
      <c r="D125" s="124" t="s">
        <v>150</v>
      </c>
      <c r="E125" s="124" t="s">
        <v>191</v>
      </c>
      <c r="F125" s="124" t="s">
        <v>185</v>
      </c>
      <c r="G125" s="124" t="s">
        <v>195</v>
      </c>
      <c r="H125" s="121">
        <f t="shared" si="3"/>
        <v>133786.16999999998</v>
      </c>
      <c r="I125" s="125" t="s">
        <v>146</v>
      </c>
      <c r="J125" s="125" t="s">
        <v>146</v>
      </c>
      <c r="K125" s="125" t="s">
        <v>146</v>
      </c>
      <c r="L125" s="125" t="s">
        <v>146</v>
      </c>
      <c r="M125" s="125" t="s">
        <v>146</v>
      </c>
      <c r="N125" s="121">
        <f>115000+18786.17</f>
        <v>133786.16999999998</v>
      </c>
      <c r="O125" s="119" t="s">
        <v>146</v>
      </c>
    </row>
    <row r="126" spans="1:15" s="140" customFormat="1" ht="25.5" hidden="1">
      <c r="A126" s="142" t="s">
        <v>24</v>
      </c>
      <c r="B126" s="124"/>
      <c r="C126" s="124" t="s">
        <v>76</v>
      </c>
      <c r="D126" s="124" t="s">
        <v>150</v>
      </c>
      <c r="E126" s="124" t="s">
        <v>191</v>
      </c>
      <c r="F126" s="124"/>
      <c r="G126" s="124" t="s">
        <v>202</v>
      </c>
      <c r="H126" s="121">
        <f t="shared" si="3"/>
        <v>0</v>
      </c>
      <c r="I126" s="125" t="s">
        <v>146</v>
      </c>
      <c r="J126" s="125" t="s">
        <v>146</v>
      </c>
      <c r="K126" s="125" t="s">
        <v>146</v>
      </c>
      <c r="L126" s="125" t="s">
        <v>146</v>
      </c>
      <c r="M126" s="125" t="s">
        <v>146</v>
      </c>
      <c r="N126" s="121"/>
      <c r="O126" s="119" t="s">
        <v>146</v>
      </c>
    </row>
    <row r="127" spans="1:15" s="140" customFormat="1" ht="12.75">
      <c r="A127" s="142" t="s">
        <v>26</v>
      </c>
      <c r="B127" s="124"/>
      <c r="C127" s="124" t="s">
        <v>76</v>
      </c>
      <c r="D127" s="124" t="s">
        <v>150</v>
      </c>
      <c r="E127" s="124" t="s">
        <v>191</v>
      </c>
      <c r="F127" s="124" t="s">
        <v>341</v>
      </c>
      <c r="G127" s="124" t="s">
        <v>195</v>
      </c>
      <c r="H127" s="121">
        <f t="shared" si="3"/>
        <v>2000</v>
      </c>
      <c r="I127" s="125" t="s">
        <v>146</v>
      </c>
      <c r="J127" s="125" t="s">
        <v>146</v>
      </c>
      <c r="K127" s="125" t="s">
        <v>146</v>
      </c>
      <c r="L127" s="125" t="s">
        <v>146</v>
      </c>
      <c r="M127" s="125" t="s">
        <v>146</v>
      </c>
      <c r="N127" s="121">
        <v>2000</v>
      </c>
      <c r="O127" s="119" t="s">
        <v>146</v>
      </c>
    </row>
    <row r="128" spans="1:15" s="140" customFormat="1" ht="12.75" hidden="1">
      <c r="A128" s="142" t="s">
        <v>26</v>
      </c>
      <c r="B128" s="124"/>
      <c r="C128" s="124" t="s">
        <v>76</v>
      </c>
      <c r="D128" s="124" t="s">
        <v>150</v>
      </c>
      <c r="E128" s="124" t="s">
        <v>191</v>
      </c>
      <c r="F128" s="124" t="s">
        <v>186</v>
      </c>
      <c r="G128" s="124" t="s">
        <v>195</v>
      </c>
      <c r="H128" s="121">
        <f t="shared" si="3"/>
        <v>0</v>
      </c>
      <c r="I128" s="125" t="s">
        <v>146</v>
      </c>
      <c r="J128" s="125" t="s">
        <v>146</v>
      </c>
      <c r="K128" s="125" t="s">
        <v>146</v>
      </c>
      <c r="L128" s="125" t="s">
        <v>146</v>
      </c>
      <c r="M128" s="125" t="s">
        <v>146</v>
      </c>
      <c r="N128" s="121"/>
      <c r="O128" s="119" t="s">
        <v>146</v>
      </c>
    </row>
    <row r="129" spans="1:15" s="140" customFormat="1" ht="12.75">
      <c r="A129" s="142" t="s">
        <v>27</v>
      </c>
      <c r="B129" s="124"/>
      <c r="C129" s="124" t="s">
        <v>76</v>
      </c>
      <c r="D129" s="124" t="s">
        <v>150</v>
      </c>
      <c r="E129" s="124" t="s">
        <v>191</v>
      </c>
      <c r="F129" s="124" t="s">
        <v>187</v>
      </c>
      <c r="G129" s="124" t="s">
        <v>195</v>
      </c>
      <c r="H129" s="121">
        <f t="shared" si="3"/>
        <v>288710</v>
      </c>
      <c r="I129" s="125" t="s">
        <v>146</v>
      </c>
      <c r="J129" s="125" t="s">
        <v>146</v>
      </c>
      <c r="K129" s="125" t="s">
        <v>146</v>
      </c>
      <c r="L129" s="125" t="s">
        <v>146</v>
      </c>
      <c r="M129" s="125" t="s">
        <v>146</v>
      </c>
      <c r="N129" s="121">
        <f>18500+4210+200000+66000</f>
        <v>288710</v>
      </c>
      <c r="O129" s="119" t="s">
        <v>146</v>
      </c>
    </row>
    <row r="130" spans="1:15" s="140" customFormat="1" ht="12.75">
      <c r="A130" s="142" t="s">
        <v>26</v>
      </c>
      <c r="B130" s="124"/>
      <c r="C130" s="124" t="s">
        <v>76</v>
      </c>
      <c r="D130" s="124" t="s">
        <v>150</v>
      </c>
      <c r="E130" s="124" t="s">
        <v>236</v>
      </c>
      <c r="F130" s="124" t="s">
        <v>341</v>
      </c>
      <c r="G130" s="124" t="s">
        <v>195</v>
      </c>
      <c r="H130" s="121">
        <f t="shared" si="3"/>
        <v>0</v>
      </c>
      <c r="I130" s="125"/>
      <c r="J130" s="125"/>
      <c r="K130" s="125"/>
      <c r="L130" s="125"/>
      <c r="M130" s="125"/>
      <c r="N130" s="133">
        <f>1890-1890</f>
        <v>0</v>
      </c>
      <c r="O130" s="119"/>
    </row>
    <row r="131" spans="1:15" s="140" customFormat="1" ht="12.75" customHeight="1">
      <c r="A131" s="142" t="s">
        <v>28</v>
      </c>
      <c r="B131" s="124"/>
      <c r="C131" s="124" t="s">
        <v>76</v>
      </c>
      <c r="D131" s="124" t="s">
        <v>150</v>
      </c>
      <c r="E131" s="124" t="s">
        <v>236</v>
      </c>
      <c r="F131" s="124" t="s">
        <v>188</v>
      </c>
      <c r="G131" s="124" t="s">
        <v>195</v>
      </c>
      <c r="H131" s="121">
        <f t="shared" si="3"/>
        <v>1577.25</v>
      </c>
      <c r="I131" s="125"/>
      <c r="J131" s="125"/>
      <c r="K131" s="125"/>
      <c r="L131" s="125"/>
      <c r="M131" s="125"/>
      <c r="N131" s="121">
        <v>1577.25</v>
      </c>
      <c r="O131" s="119"/>
    </row>
    <row r="132" spans="1:15" s="140" customFormat="1" ht="17.25" customHeight="1">
      <c r="A132" s="142" t="s">
        <v>28</v>
      </c>
      <c r="B132" s="124"/>
      <c r="C132" s="124" t="s">
        <v>76</v>
      </c>
      <c r="D132" s="124" t="s">
        <v>150</v>
      </c>
      <c r="E132" s="124" t="s">
        <v>191</v>
      </c>
      <c r="F132" s="124" t="s">
        <v>188</v>
      </c>
      <c r="G132" s="124" t="s">
        <v>195</v>
      </c>
      <c r="H132" s="121">
        <f t="shared" si="3"/>
        <v>61790</v>
      </c>
      <c r="I132" s="125" t="s">
        <v>146</v>
      </c>
      <c r="J132" s="125" t="s">
        <v>146</v>
      </c>
      <c r="K132" s="125" t="s">
        <v>146</v>
      </c>
      <c r="L132" s="125" t="s">
        <v>146</v>
      </c>
      <c r="M132" s="125" t="s">
        <v>146</v>
      </c>
      <c r="N132" s="121">
        <f>17000+790+44000</f>
        <v>61790</v>
      </c>
      <c r="O132" s="119" t="s">
        <v>146</v>
      </c>
    </row>
    <row r="133" spans="1:15" s="140" customFormat="1" ht="12.75" hidden="1">
      <c r="A133" s="146"/>
      <c r="B133" s="124"/>
      <c r="C133" s="124"/>
      <c r="D133" s="124"/>
      <c r="E133" s="124"/>
      <c r="F133" s="124"/>
      <c r="G133" s="124"/>
      <c r="H133" s="121"/>
      <c r="I133" s="121"/>
      <c r="J133" s="121"/>
      <c r="K133" s="121"/>
      <c r="L133" s="121"/>
      <c r="M133" s="121"/>
      <c r="N133" s="121"/>
      <c r="O133" s="143"/>
    </row>
    <row r="134" spans="1:15" s="140" customFormat="1" ht="12.75" hidden="1">
      <c r="A134" s="146"/>
      <c r="B134" s="124"/>
      <c r="C134" s="124"/>
      <c r="D134" s="124"/>
      <c r="E134" s="124"/>
      <c r="F134" s="124"/>
      <c r="G134" s="124"/>
      <c r="H134" s="121"/>
      <c r="I134" s="121"/>
      <c r="J134" s="121"/>
      <c r="K134" s="121"/>
      <c r="L134" s="121"/>
      <c r="M134" s="121"/>
      <c r="N134" s="121"/>
      <c r="O134" s="143"/>
    </row>
    <row r="135" spans="1:15" s="140" customFormat="1" ht="27">
      <c r="A135" s="151" t="s">
        <v>203</v>
      </c>
      <c r="B135" s="152" t="s">
        <v>202</v>
      </c>
      <c r="C135" s="153" t="s">
        <v>146</v>
      </c>
      <c r="D135" s="153" t="s">
        <v>146</v>
      </c>
      <c r="E135" s="153" t="s">
        <v>146</v>
      </c>
      <c r="F135" s="153" t="s">
        <v>146</v>
      </c>
      <c r="G135" s="153" t="s">
        <v>146</v>
      </c>
      <c r="H135" s="154">
        <f>I135+N135+K135</f>
        <v>16577000</v>
      </c>
      <c r="I135" s="154">
        <f>I58+I59+I60+I61+I62</f>
        <v>15607000</v>
      </c>
      <c r="J135" s="154"/>
      <c r="K135" s="154">
        <f>K107</f>
        <v>245000</v>
      </c>
      <c r="L135" s="155" t="s">
        <v>146</v>
      </c>
      <c r="M135" s="155" t="s">
        <v>146</v>
      </c>
      <c r="N135" s="154">
        <f>N115+N116+N117</f>
        <v>725000</v>
      </c>
      <c r="O135" s="119" t="s">
        <v>146</v>
      </c>
    </row>
    <row r="136" spans="1:15" s="140" customFormat="1" ht="24.75">
      <c r="A136" s="156" t="s">
        <v>204</v>
      </c>
      <c r="B136" s="157" t="s">
        <v>205</v>
      </c>
      <c r="C136" s="153" t="s">
        <v>146</v>
      </c>
      <c r="D136" s="153" t="s">
        <v>146</v>
      </c>
      <c r="E136" s="153" t="s">
        <v>146</v>
      </c>
      <c r="F136" s="153" t="s">
        <v>146</v>
      </c>
      <c r="G136" s="153" t="s">
        <v>146</v>
      </c>
      <c r="H136" s="158">
        <f>H138+H137</f>
        <v>1668935.17</v>
      </c>
      <c r="I136" s="158">
        <f>I138+I137</f>
        <v>902300</v>
      </c>
      <c r="J136" s="158">
        <f>J138+J137</f>
        <v>0</v>
      </c>
      <c r="K136" s="158">
        <f>K138+K137</f>
        <v>123999</v>
      </c>
      <c r="L136" s="159"/>
      <c r="M136" s="159"/>
      <c r="N136" s="158">
        <f>N138+N137</f>
        <v>642636.1699999999</v>
      </c>
      <c r="O136" s="119"/>
    </row>
    <row r="137" spans="1:15" s="140" customFormat="1" ht="36">
      <c r="A137" s="156" t="s">
        <v>206</v>
      </c>
      <c r="B137" s="152" t="s">
        <v>207</v>
      </c>
      <c r="C137" s="153" t="s">
        <v>146</v>
      </c>
      <c r="D137" s="153" t="s">
        <v>146</v>
      </c>
      <c r="E137" s="153" t="s">
        <v>146</v>
      </c>
      <c r="F137" s="153" t="s">
        <v>146</v>
      </c>
      <c r="G137" s="153" t="s">
        <v>146</v>
      </c>
      <c r="H137" s="154">
        <v>0</v>
      </c>
      <c r="I137" s="154">
        <v>0</v>
      </c>
      <c r="J137" s="154"/>
      <c r="K137" s="154">
        <v>0</v>
      </c>
      <c r="L137" s="155"/>
      <c r="M137" s="155"/>
      <c r="N137" s="154">
        <v>0</v>
      </c>
      <c r="O137" s="119"/>
    </row>
    <row r="138" spans="1:15" s="140" customFormat="1" ht="12.75" customHeight="1">
      <c r="A138" s="156" t="s">
        <v>208</v>
      </c>
      <c r="B138" s="152" t="s">
        <v>209</v>
      </c>
      <c r="C138" s="153" t="s">
        <v>146</v>
      </c>
      <c r="D138" s="153" t="s">
        <v>146</v>
      </c>
      <c r="E138" s="153" t="s">
        <v>146</v>
      </c>
      <c r="F138" s="153" t="s">
        <v>146</v>
      </c>
      <c r="G138" s="153" t="s">
        <v>146</v>
      </c>
      <c r="H138" s="154">
        <f>I138+N138+K138</f>
        <v>1668935.17</v>
      </c>
      <c r="I138" s="154">
        <f>I63+I64+I68+I72+I81+I83+I84+I88+I90+I74</f>
        <v>902300</v>
      </c>
      <c r="J138" s="154"/>
      <c r="K138" s="154">
        <f>K109+K111+K112+K113</f>
        <v>123999</v>
      </c>
      <c r="L138" s="155" t="s">
        <v>146</v>
      </c>
      <c r="M138" s="155" t="s">
        <v>146</v>
      </c>
      <c r="N138" s="154">
        <f>N118+N119+N121+N123+N125+N127+N129+N132+N124+N130+N131</f>
        <v>642636.1699999999</v>
      </c>
      <c r="O138" s="119" t="s">
        <v>146</v>
      </c>
    </row>
    <row r="139" spans="1:15" s="140" customFormat="1" ht="12.75" hidden="1">
      <c r="A139" s="123" t="s">
        <v>210</v>
      </c>
      <c r="B139" s="124" t="s">
        <v>211</v>
      </c>
      <c r="C139" s="124" t="s">
        <v>146</v>
      </c>
      <c r="D139" s="124" t="s">
        <v>146</v>
      </c>
      <c r="E139" s="124" t="s">
        <v>146</v>
      </c>
      <c r="F139" s="124" t="s">
        <v>146</v>
      </c>
      <c r="G139" s="124" t="s">
        <v>146</v>
      </c>
      <c r="H139" s="121">
        <f>I139+N139</f>
        <v>0</v>
      </c>
      <c r="I139" s="121">
        <v>0</v>
      </c>
      <c r="J139" s="121"/>
      <c r="K139" s="121"/>
      <c r="L139" s="119" t="s">
        <v>146</v>
      </c>
      <c r="M139" s="119" t="s">
        <v>146</v>
      </c>
      <c r="N139" s="143">
        <v>0</v>
      </c>
      <c r="O139" s="119" t="s">
        <v>146</v>
      </c>
    </row>
    <row r="140" spans="1:15" s="140" customFormat="1" ht="12.75" hidden="1">
      <c r="A140" s="146" t="s">
        <v>212</v>
      </c>
      <c r="B140" s="124" t="s">
        <v>187</v>
      </c>
      <c r="C140" s="124" t="s">
        <v>146</v>
      </c>
      <c r="D140" s="124" t="s">
        <v>146</v>
      </c>
      <c r="E140" s="124" t="s">
        <v>146</v>
      </c>
      <c r="F140" s="124" t="s">
        <v>146</v>
      </c>
      <c r="G140" s="124" t="s">
        <v>146</v>
      </c>
      <c r="H140" s="121">
        <v>0</v>
      </c>
      <c r="I140" s="121">
        <v>0</v>
      </c>
      <c r="J140" s="121"/>
      <c r="K140" s="121"/>
      <c r="L140" s="119" t="s">
        <v>146</v>
      </c>
      <c r="M140" s="119" t="s">
        <v>146</v>
      </c>
      <c r="N140" s="143">
        <v>0</v>
      </c>
      <c r="O140" s="119" t="s">
        <v>146</v>
      </c>
    </row>
    <row r="141" spans="1:15" s="140" customFormat="1" ht="12.75" hidden="1">
      <c r="A141" s="146" t="s">
        <v>213</v>
      </c>
      <c r="B141" s="124" t="s">
        <v>214</v>
      </c>
      <c r="C141" s="124" t="s">
        <v>146</v>
      </c>
      <c r="D141" s="124" t="s">
        <v>146</v>
      </c>
      <c r="E141" s="124" t="s">
        <v>146</v>
      </c>
      <c r="F141" s="124" t="s">
        <v>146</v>
      </c>
      <c r="G141" s="124" t="s">
        <v>146</v>
      </c>
      <c r="H141" s="121">
        <v>0</v>
      </c>
      <c r="I141" s="121">
        <v>0</v>
      </c>
      <c r="J141" s="121"/>
      <c r="K141" s="121"/>
      <c r="L141" s="119" t="s">
        <v>146</v>
      </c>
      <c r="M141" s="119" t="s">
        <v>146</v>
      </c>
      <c r="N141" s="143">
        <v>0</v>
      </c>
      <c r="O141" s="119" t="s">
        <v>146</v>
      </c>
    </row>
    <row r="142" spans="1:15" s="140" customFormat="1" ht="12.75" hidden="1">
      <c r="A142" s="146" t="s">
        <v>215</v>
      </c>
      <c r="B142" s="124" t="s">
        <v>216</v>
      </c>
      <c r="C142" s="124" t="s">
        <v>146</v>
      </c>
      <c r="D142" s="124" t="s">
        <v>146</v>
      </c>
      <c r="E142" s="124" t="s">
        <v>146</v>
      </c>
      <c r="F142" s="124" t="s">
        <v>146</v>
      </c>
      <c r="G142" s="124" t="s">
        <v>146</v>
      </c>
      <c r="H142" s="121">
        <v>0</v>
      </c>
      <c r="I142" s="121">
        <v>0</v>
      </c>
      <c r="J142" s="121"/>
      <c r="K142" s="121"/>
      <c r="L142" s="119" t="s">
        <v>146</v>
      </c>
      <c r="M142" s="119" t="s">
        <v>146</v>
      </c>
      <c r="N142" s="143">
        <v>0</v>
      </c>
      <c r="O142" s="119" t="s">
        <v>146</v>
      </c>
    </row>
    <row r="143" spans="1:15" s="140" customFormat="1" ht="12.75" hidden="1">
      <c r="A143" s="146" t="s">
        <v>217</v>
      </c>
      <c r="B143" s="124" t="s">
        <v>218</v>
      </c>
      <c r="C143" s="124" t="s">
        <v>146</v>
      </c>
      <c r="D143" s="124" t="s">
        <v>146</v>
      </c>
      <c r="E143" s="124" t="s">
        <v>146</v>
      </c>
      <c r="F143" s="124" t="s">
        <v>146</v>
      </c>
      <c r="G143" s="124" t="s">
        <v>146</v>
      </c>
      <c r="H143" s="121">
        <v>0</v>
      </c>
      <c r="I143" s="121">
        <v>0</v>
      </c>
      <c r="J143" s="121"/>
      <c r="K143" s="121"/>
      <c r="L143" s="119" t="s">
        <v>146</v>
      </c>
      <c r="M143" s="119" t="s">
        <v>146</v>
      </c>
      <c r="N143" s="143">
        <v>0</v>
      </c>
      <c r="O143" s="119" t="s">
        <v>146</v>
      </c>
    </row>
    <row r="144" spans="1:15" s="140" customFormat="1" ht="12.75" hidden="1">
      <c r="A144" s="146" t="s">
        <v>219</v>
      </c>
      <c r="B144" s="124" t="s">
        <v>220</v>
      </c>
      <c r="C144" s="124" t="s">
        <v>146</v>
      </c>
      <c r="D144" s="124" t="s">
        <v>146</v>
      </c>
      <c r="E144" s="124" t="s">
        <v>146</v>
      </c>
      <c r="F144" s="124" t="s">
        <v>146</v>
      </c>
      <c r="G144" s="124" t="s">
        <v>146</v>
      </c>
      <c r="H144" s="121">
        <v>0</v>
      </c>
      <c r="I144" s="121">
        <v>0</v>
      </c>
      <c r="J144" s="121"/>
      <c r="K144" s="121"/>
      <c r="L144" s="119" t="s">
        <v>146</v>
      </c>
      <c r="M144" s="119" t="s">
        <v>146</v>
      </c>
      <c r="N144" s="143">
        <v>0</v>
      </c>
      <c r="O144" s="119" t="s">
        <v>146</v>
      </c>
    </row>
    <row r="145" spans="1:15" s="140" customFormat="1" ht="12.75">
      <c r="A145" s="160" t="s">
        <v>221</v>
      </c>
      <c r="B145" s="161" t="s">
        <v>222</v>
      </c>
      <c r="C145" s="124" t="s">
        <v>146</v>
      </c>
      <c r="D145" s="124" t="s">
        <v>146</v>
      </c>
      <c r="E145" s="124" t="s">
        <v>146</v>
      </c>
      <c r="F145" s="124" t="s">
        <v>146</v>
      </c>
      <c r="G145" s="124" t="s">
        <v>146</v>
      </c>
      <c r="H145" s="162">
        <f>I145+K145+N145</f>
        <v>18786.17</v>
      </c>
      <c r="I145" s="162">
        <v>0</v>
      </c>
      <c r="J145" s="162"/>
      <c r="K145" s="162"/>
      <c r="L145" s="163" t="s">
        <v>146</v>
      </c>
      <c r="M145" s="163" t="s">
        <v>146</v>
      </c>
      <c r="N145" s="253">
        <v>18786.17</v>
      </c>
      <c r="O145" s="119" t="s">
        <v>146</v>
      </c>
    </row>
    <row r="146" spans="1:15" s="140" customFormat="1" ht="12.75">
      <c r="A146" s="146" t="s">
        <v>223</v>
      </c>
      <c r="B146" s="124" t="s">
        <v>224</v>
      </c>
      <c r="C146" s="124" t="s">
        <v>146</v>
      </c>
      <c r="D146" s="124" t="s">
        <v>146</v>
      </c>
      <c r="E146" s="124" t="s">
        <v>146</v>
      </c>
      <c r="F146" s="124" t="s">
        <v>146</v>
      </c>
      <c r="G146" s="124" t="s">
        <v>146</v>
      </c>
      <c r="H146" s="121">
        <v>0</v>
      </c>
      <c r="I146" s="121">
        <v>0</v>
      </c>
      <c r="J146" s="121"/>
      <c r="K146" s="121"/>
      <c r="L146" s="119" t="s">
        <v>146</v>
      </c>
      <c r="M146" s="119" t="s">
        <v>146</v>
      </c>
      <c r="N146" s="143">
        <v>0</v>
      </c>
      <c r="O146" s="119" t="s">
        <v>146</v>
      </c>
    </row>
    <row r="147" s="103" customFormat="1" ht="12.75"/>
    <row r="148" s="103" customFormat="1" ht="13.5">
      <c r="A148" s="164" t="s">
        <v>225</v>
      </c>
    </row>
    <row r="149" s="103" customFormat="1" ht="13.5" hidden="1">
      <c r="A149" s="164"/>
    </row>
    <row r="150" s="103" customFormat="1" ht="19.5" customHeight="1">
      <c r="A150" s="164" t="s">
        <v>45</v>
      </c>
    </row>
    <row r="151" s="103" customFormat="1" ht="13.5">
      <c r="A151" s="164" t="s">
        <v>46</v>
      </c>
    </row>
    <row r="152" s="103" customFormat="1" ht="13.5" hidden="1">
      <c r="A152" s="164"/>
    </row>
    <row r="153" s="103" customFormat="1" ht="13.5" hidden="1">
      <c r="A153" s="164"/>
    </row>
    <row r="154" s="103" customFormat="1" ht="23.25" customHeight="1" hidden="1">
      <c r="A154" s="164" t="s">
        <v>226</v>
      </c>
    </row>
    <row r="155" s="103" customFormat="1" ht="13.5">
      <c r="A155" s="164"/>
    </row>
    <row r="156" s="103" customFormat="1" ht="15.75">
      <c r="A156" s="165"/>
    </row>
    <row r="157" s="103" customFormat="1" ht="15.75">
      <c r="A157" s="165"/>
    </row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</sheetData>
  <sheetProtection/>
  <mergeCells count="41">
    <mergeCell ref="A114:B114"/>
    <mergeCell ref="G58:G59"/>
    <mergeCell ref="A61:A62"/>
    <mergeCell ref="B61:B62"/>
    <mergeCell ref="C61:C62"/>
    <mergeCell ref="E61:E62"/>
    <mergeCell ref="A75:B75"/>
    <mergeCell ref="A91:B91"/>
    <mergeCell ref="A108:C108"/>
    <mergeCell ref="A110:D110"/>
    <mergeCell ref="F61:F62"/>
    <mergeCell ref="G61:G62"/>
    <mergeCell ref="A57:B57"/>
    <mergeCell ref="A58:A59"/>
    <mergeCell ref="B58:B59"/>
    <mergeCell ref="C58:C59"/>
    <mergeCell ref="E58:E59"/>
    <mergeCell ref="F58:F59"/>
    <mergeCell ref="A21:A22"/>
    <mergeCell ref="C21:C22"/>
    <mergeCell ref="E21:E22"/>
    <mergeCell ref="F21:F22"/>
    <mergeCell ref="B15:B19"/>
    <mergeCell ref="C16:C19"/>
    <mergeCell ref="B20:B23"/>
    <mergeCell ref="J20:J21"/>
    <mergeCell ref="G21:G22"/>
    <mergeCell ref="H6:O6"/>
    <mergeCell ref="H7:H8"/>
    <mergeCell ref="I7:O7"/>
    <mergeCell ref="N8:O8"/>
    <mergeCell ref="A3:O3"/>
    <mergeCell ref="B4:M4"/>
    <mergeCell ref="N4:O4"/>
    <mergeCell ref="A6:A8"/>
    <mergeCell ref="B6:B8"/>
    <mergeCell ref="C6:C8"/>
    <mergeCell ref="D6:D8"/>
    <mergeCell ref="E6:E8"/>
    <mergeCell ref="F6:F8"/>
    <mergeCell ref="G6:G8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Бухгалтер</cp:lastModifiedBy>
  <cp:lastPrinted>2018-06-26T08:07:15Z</cp:lastPrinted>
  <dcterms:created xsi:type="dcterms:W3CDTF">2012-12-27T11:03:53Z</dcterms:created>
  <dcterms:modified xsi:type="dcterms:W3CDTF">2019-02-28T17:01:47Z</dcterms:modified>
  <cp:category/>
  <cp:version/>
  <cp:contentType/>
  <cp:contentStatus/>
</cp:coreProperties>
</file>